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570" windowWidth="9135" windowHeight="4485" tabRatio="621" activeTab="1"/>
  </bookViews>
  <sheets>
    <sheet name="CRONOGRAMA" sheetId="30" r:id="rId1"/>
    <sheet name="PLANILHA ORÇAMENTÁRIA" sheetId="29" r:id="rId2"/>
    <sheet name="COMPOSIÇÃO" sheetId="32" r:id="rId3"/>
    <sheet name="BDI" sheetId="34" r:id="rId4"/>
  </sheets>
  <externalReferences>
    <externalReference r:id="rId5"/>
  </externalReferences>
  <definedNames>
    <definedName name="_xlnm.Print_Area" localSheetId="3">BDI!$A$1:$G$50</definedName>
    <definedName name="_xlnm.Print_Area" localSheetId="2">COMPOSIÇÃO!$A$1:$K$222</definedName>
    <definedName name="_xlnm.Print_Area" localSheetId="0">CRONOGRAMA!$A$1:$G$41</definedName>
    <definedName name="_xlnm.Print_Area" localSheetId="1">'PLANILHA ORÇAMENTÁRIA'!$A$1:$J$71</definedName>
    <definedName name="_xlnm.Print_Titles" localSheetId="3">BDI!$1:$7</definedName>
    <definedName name="_xlnm.Print_Titles" localSheetId="2">COMPOSIÇÃO!$8:$9</definedName>
    <definedName name="_xlnm.Print_Titles" localSheetId="0">CRONOGRAMA!$A:$C,CRONOGRAMA!$1:$8</definedName>
    <definedName name="_xlnm.Print_Titles" localSheetId="1">'PLANILHA ORÇAMENTÁRIA'!$7:$8</definedName>
  </definedNames>
  <calcPr calcId="125725" iterateDelta="1E-4"/>
</workbook>
</file>

<file path=xl/calcChain.xml><?xml version="1.0" encoding="utf-8"?>
<calcChain xmlns="http://schemas.openxmlformats.org/spreadsheetml/2006/main">
  <c r="I171" i="32"/>
  <c r="I172"/>
  <c r="I173"/>
  <c r="I174"/>
  <c r="I175"/>
  <c r="I176"/>
  <c r="I177"/>
  <c r="I178"/>
  <c r="I179"/>
  <c r="I180"/>
  <c r="I181"/>
  <c r="I182"/>
  <c r="I124"/>
  <c r="I125"/>
  <c r="J126"/>
  <c r="J127"/>
  <c r="J92"/>
  <c r="I90"/>
  <c r="I56"/>
  <c r="L31" l="1"/>
  <c r="E59" i="29" l="1"/>
  <c r="D59"/>
  <c r="C59"/>
  <c r="I195" i="32" l="1"/>
  <c r="I192" s="1"/>
  <c r="G59" i="29" s="1"/>
  <c r="J194" i="32"/>
  <c r="J193"/>
  <c r="J163"/>
  <c r="J161"/>
  <c r="I164"/>
  <c r="I162"/>
  <c r="I160"/>
  <c r="J192" l="1"/>
  <c r="J159"/>
  <c r="I120"/>
  <c r="K192" l="1"/>
  <c r="H59" i="29"/>
  <c r="BU311" i="34"/>
  <c r="BU310"/>
  <c r="BU309"/>
  <c r="BT308"/>
  <c r="BU308" s="1"/>
  <c r="CE307"/>
  <c r="CD307"/>
  <c r="CD308" s="1"/>
  <c r="CD309" s="1"/>
  <c r="CD310" s="1"/>
  <c r="CD311" s="1"/>
  <c r="CD312" s="1"/>
  <c r="BU307"/>
  <c r="BT306"/>
  <c r="BU306" s="1"/>
  <c r="CE300"/>
  <c r="CD300"/>
  <c r="CD301" s="1"/>
  <c r="CD302" s="1"/>
  <c r="CD303" s="1"/>
  <c r="CD304" s="1"/>
  <c r="CD305" s="1"/>
  <c r="CE294"/>
  <c r="CD294"/>
  <c r="CD295" s="1"/>
  <c r="CD296" s="1"/>
  <c r="CD297" s="1"/>
  <c r="CD298" s="1"/>
  <c r="CD299" s="1"/>
  <c r="CE287"/>
  <c r="CD287"/>
  <c r="CD288" s="1"/>
  <c r="CD289" s="1"/>
  <c r="CD290" s="1"/>
  <c r="CD291" s="1"/>
  <c r="CD292" s="1"/>
  <c r="CE279"/>
  <c r="CD279"/>
  <c r="CD280" s="1"/>
  <c r="CD281" s="1"/>
  <c r="CD282" s="1"/>
  <c r="CD283" s="1"/>
  <c r="CD284" s="1"/>
  <c r="CE271"/>
  <c r="CD271"/>
  <c r="CD272" s="1"/>
  <c r="CD273" s="1"/>
  <c r="CD274" s="1"/>
  <c r="CD275" s="1"/>
  <c r="CD276" s="1"/>
  <c r="BV262"/>
  <c r="BV261"/>
  <c r="BV260"/>
  <c r="BU295" s="1"/>
  <c r="BV259"/>
  <c r="BV258"/>
  <c r="BV257"/>
  <c r="K54"/>
  <c r="K46"/>
  <c r="I38"/>
  <c r="I37"/>
  <c r="I36"/>
  <c r="I35"/>
  <c r="I34"/>
  <c r="C24"/>
  <c r="CI267" s="1"/>
  <c r="K11"/>
  <c r="A1"/>
  <c r="J59" i="29" l="1"/>
  <c r="I59"/>
  <c r="F26" i="34"/>
  <c r="F56" s="1"/>
  <c r="I56" s="1"/>
  <c r="E54" s="1"/>
  <c r="BW295"/>
  <c r="D50" s="1"/>
  <c r="BV295"/>
  <c r="C50" s="1"/>
  <c r="B15"/>
  <c r="BU296"/>
  <c r="BX295"/>
  <c r="E50" s="1"/>
  <c r="CI266"/>
  <c r="F40" l="1"/>
  <c r="I40" s="1"/>
  <c r="E46" s="1"/>
  <c r="BU297"/>
  <c r="BX296"/>
  <c r="E34" s="1"/>
  <c r="BW296"/>
  <c r="D34" s="1"/>
  <c r="BV296"/>
  <c r="C34" s="1"/>
  <c r="B47" l="1"/>
  <c r="H70" i="29"/>
  <c r="K34" i="34"/>
  <c r="BX297"/>
  <c r="E35" s="1"/>
  <c r="BW297"/>
  <c r="D35" s="1"/>
  <c r="BU298"/>
  <c r="BV297"/>
  <c r="C35" s="1"/>
  <c r="BX298" l="1"/>
  <c r="E36" s="1"/>
  <c r="BW298"/>
  <c r="D36" s="1"/>
  <c r="BV298"/>
  <c r="C36" s="1"/>
  <c r="BU299"/>
  <c r="K35"/>
  <c r="BU300" l="1"/>
  <c r="BV299"/>
  <c r="C37" s="1"/>
  <c r="BX299"/>
  <c r="E37" s="1"/>
  <c r="BW299"/>
  <c r="D37" s="1"/>
  <c r="K36"/>
  <c r="K37" l="1"/>
  <c r="BV300"/>
  <c r="C38" s="1"/>
  <c r="BX300"/>
  <c r="E38" s="1"/>
  <c r="BW300"/>
  <c r="D38" s="1"/>
  <c r="K38" l="1"/>
  <c r="E58" i="29" l="1"/>
  <c r="D58"/>
  <c r="C58"/>
  <c r="I189" i="32"/>
  <c r="I188"/>
  <c r="J187"/>
  <c r="J186"/>
  <c r="I170"/>
  <c r="J169"/>
  <c r="J168"/>
  <c r="J167" s="1"/>
  <c r="H182"/>
  <c r="H181"/>
  <c r="H180"/>
  <c r="H179"/>
  <c r="H178"/>
  <c r="H177"/>
  <c r="H176"/>
  <c r="H175"/>
  <c r="H174"/>
  <c r="H173"/>
  <c r="H172"/>
  <c r="H171"/>
  <c r="H170"/>
  <c r="H164"/>
  <c r="H162"/>
  <c r="H160"/>
  <c r="J154"/>
  <c r="J155"/>
  <c r="I156"/>
  <c r="I157"/>
  <c r="E57" i="29"/>
  <c r="D57"/>
  <c r="C57"/>
  <c r="I185" i="32" l="1"/>
  <c r="J185"/>
  <c r="I167"/>
  <c r="H167"/>
  <c r="J153"/>
  <c r="I159"/>
  <c r="H159"/>
  <c r="I153"/>
  <c r="H33" i="30"/>
  <c r="H30"/>
  <c r="H27"/>
  <c r="H24"/>
  <c r="H21"/>
  <c r="H18"/>
  <c r="H15"/>
  <c r="K185" i="32" l="1"/>
  <c r="H11" i="30"/>
  <c r="L170" i="32"/>
  <c r="G57" i="29" l="1"/>
  <c r="H57" l="1"/>
  <c r="I57" l="1"/>
  <c r="J57"/>
  <c r="N168" i="32" l="1"/>
  <c r="M168"/>
  <c r="L168"/>
  <c r="M169" l="1"/>
  <c r="K167" l="1"/>
  <c r="O169" l="1"/>
  <c r="B31" i="30" l="1"/>
  <c r="B28"/>
  <c r="B25"/>
  <c r="B22"/>
  <c r="B19"/>
  <c r="B16"/>
  <c r="B13"/>
  <c r="J200" i="32" l="1"/>
  <c r="J199"/>
  <c r="I221"/>
  <c r="I216"/>
  <c r="I211"/>
  <c r="I206"/>
  <c r="I201"/>
  <c r="I151"/>
  <c r="I150"/>
  <c r="I145"/>
  <c r="I144"/>
  <c r="I139"/>
  <c r="I138"/>
  <c r="I133"/>
  <c r="I132"/>
  <c r="I119"/>
  <c r="I116" s="1"/>
  <c r="I113"/>
  <c r="I107"/>
  <c r="I103"/>
  <c r="I97"/>
  <c r="I87"/>
  <c r="I86"/>
  <c r="I80"/>
  <c r="I79"/>
  <c r="I74"/>
  <c r="I68"/>
  <c r="I63"/>
  <c r="I53"/>
  <c r="I47"/>
  <c r="I42"/>
  <c r="I37"/>
  <c r="I36"/>
  <c r="I35"/>
  <c r="I25"/>
  <c r="I24"/>
  <c r="I23"/>
  <c r="I22"/>
  <c r="I21"/>
  <c r="I15"/>
  <c r="J220"/>
  <c r="J219"/>
  <c r="J215"/>
  <c r="J214"/>
  <c r="J210"/>
  <c r="J209"/>
  <c r="J205"/>
  <c r="J204"/>
  <c r="J149"/>
  <c r="J148"/>
  <c r="J143"/>
  <c r="J142"/>
  <c r="J137"/>
  <c r="J136"/>
  <c r="J131"/>
  <c r="J130"/>
  <c r="J118"/>
  <c r="J117"/>
  <c r="J112"/>
  <c r="J111"/>
  <c r="J106"/>
  <c r="J105" s="1"/>
  <c r="J102"/>
  <c r="J101"/>
  <c r="J100"/>
  <c r="J96"/>
  <c r="J95"/>
  <c r="J91"/>
  <c r="J85"/>
  <c r="J84"/>
  <c r="J78"/>
  <c r="J77"/>
  <c r="J73"/>
  <c r="J72"/>
  <c r="J67"/>
  <c r="J66"/>
  <c r="J62"/>
  <c r="J61"/>
  <c r="J58"/>
  <c r="J57"/>
  <c r="J52"/>
  <c r="J51"/>
  <c r="J46"/>
  <c r="J45"/>
  <c r="J41"/>
  <c r="J40"/>
  <c r="J34"/>
  <c r="J31"/>
  <c r="J28"/>
  <c r="J20"/>
  <c r="J19"/>
  <c r="J16"/>
  <c r="J11"/>
  <c r="J110" l="1"/>
  <c r="J89"/>
  <c r="K17" i="29"/>
  <c r="C12"/>
  <c r="D12"/>
  <c r="E12"/>
  <c r="I39" i="32"/>
  <c r="G23" i="29" s="1"/>
  <c r="C23"/>
  <c r="D23"/>
  <c r="E23"/>
  <c r="J39" i="32" l="1"/>
  <c r="H23" i="29" s="1"/>
  <c r="K39" i="32" l="1"/>
  <c r="I23" i="29"/>
  <c r="J23"/>
  <c r="I198" i="32" l="1"/>
  <c r="G58" i="29" s="1"/>
  <c r="I213" i="32"/>
  <c r="I203"/>
  <c r="C64" i="29"/>
  <c r="D64"/>
  <c r="E64"/>
  <c r="C65"/>
  <c r="D65"/>
  <c r="E65"/>
  <c r="C66"/>
  <c r="D66"/>
  <c r="E66"/>
  <c r="D22"/>
  <c r="L22"/>
  <c r="K22"/>
  <c r="E37"/>
  <c r="D37"/>
  <c r="C37"/>
  <c r="I99" i="32"/>
  <c r="C41" i="29"/>
  <c r="D41"/>
  <c r="E41"/>
  <c r="C51"/>
  <c r="D51"/>
  <c r="E51"/>
  <c r="C52"/>
  <c r="D52"/>
  <c r="E52"/>
  <c r="I83" i="32" l="1"/>
  <c r="J213"/>
  <c r="K213" s="1"/>
  <c r="J83"/>
  <c r="N22" i="29"/>
  <c r="G64"/>
  <c r="J198" i="32"/>
  <c r="J203"/>
  <c r="J99"/>
  <c r="K99" s="1"/>
  <c r="J147"/>
  <c r="I147"/>
  <c r="K198" l="1"/>
  <c r="H58" i="29"/>
  <c r="K83" i="32"/>
  <c r="H51" i="29"/>
  <c r="G52"/>
  <c r="K203" i="32"/>
  <c r="H64" i="29"/>
  <c r="K153" i="32"/>
  <c r="H52" i="29"/>
  <c r="K159" i="32"/>
  <c r="K147"/>
  <c r="G51" i="29"/>
  <c r="J58" l="1"/>
  <c r="I58"/>
  <c r="J51"/>
  <c r="I64"/>
  <c r="J64"/>
  <c r="I51"/>
  <c r="J52"/>
  <c r="I52"/>
  <c r="L17" l="1"/>
  <c r="I55" i="32" l="1"/>
  <c r="J55" l="1"/>
  <c r="M55" l="1"/>
  <c r="L56"/>
  <c r="K55"/>
  <c r="I208" l="1"/>
  <c r="G65" i="29" s="1"/>
  <c r="K63"/>
  <c r="I105" i="32"/>
  <c r="G41" i="29" s="1"/>
  <c r="I94" i="32"/>
  <c r="E32" i="29"/>
  <c r="D32"/>
  <c r="C32"/>
  <c r="I71" i="32"/>
  <c r="I65"/>
  <c r="I60"/>
  <c r="I50"/>
  <c r="I44"/>
  <c r="J30"/>
  <c r="I30"/>
  <c r="J27"/>
  <c r="I27"/>
  <c r="I89" l="1"/>
  <c r="I135"/>
  <c r="G32" i="29"/>
  <c r="J208" i="32"/>
  <c r="H65" i="29" s="1"/>
  <c r="J135" i="32"/>
  <c r="J60"/>
  <c r="H37" i="29"/>
  <c r="I129" i="32"/>
  <c r="I141"/>
  <c r="J123"/>
  <c r="J129"/>
  <c r="I123"/>
  <c r="J141"/>
  <c r="J76"/>
  <c r="J116"/>
  <c r="G37" i="29"/>
  <c r="H41"/>
  <c r="I110" i="32"/>
  <c r="I76"/>
  <c r="J94"/>
  <c r="K105"/>
  <c r="J71"/>
  <c r="J65"/>
  <c r="J44"/>
  <c r="J50"/>
  <c r="I33"/>
  <c r="K30"/>
  <c r="J33"/>
  <c r="K27"/>
  <c r="E29" i="29"/>
  <c r="D29"/>
  <c r="C29"/>
  <c r="E31"/>
  <c r="D31"/>
  <c r="C31"/>
  <c r="E30"/>
  <c r="D30"/>
  <c r="C30"/>
  <c r="J65" l="1"/>
  <c r="I65"/>
  <c r="J41"/>
  <c r="I41"/>
  <c r="J37"/>
  <c r="I37"/>
  <c r="K208" i="32"/>
  <c r="K60"/>
  <c r="K71"/>
  <c r="K110"/>
  <c r="K50"/>
  <c r="K135"/>
  <c r="K44"/>
  <c r="K89"/>
  <c r="K94"/>
  <c r="K116"/>
  <c r="K129"/>
  <c r="K76"/>
  <c r="K141"/>
  <c r="K123"/>
  <c r="K65"/>
  <c r="H32" i="29"/>
  <c r="K33" i="32"/>
  <c r="I32" i="29" l="1"/>
  <c r="J32"/>
  <c r="G30" l="1"/>
  <c r="H30"/>
  <c r="J30" l="1"/>
  <c r="I30"/>
  <c r="E28" l="1"/>
  <c r="D28"/>
  <c r="C28"/>
  <c r="E27"/>
  <c r="D27"/>
  <c r="C27"/>
  <c r="E56"/>
  <c r="D56"/>
  <c r="C56"/>
  <c r="G56" l="1"/>
  <c r="H56"/>
  <c r="E43"/>
  <c r="D43"/>
  <c r="C43"/>
  <c r="E40"/>
  <c r="D40"/>
  <c r="C40"/>
  <c r="E39"/>
  <c r="D39"/>
  <c r="C39"/>
  <c r="E38"/>
  <c r="D38"/>
  <c r="C38"/>
  <c r="H43" l="1"/>
  <c r="G43"/>
  <c r="G31" l="1"/>
  <c r="I43"/>
  <c r="J43"/>
  <c r="H31" l="1"/>
  <c r="J31" l="1"/>
  <c r="I31"/>
  <c r="E63"/>
  <c r="D63"/>
  <c r="C63"/>
  <c r="E50"/>
  <c r="D50"/>
  <c r="C50"/>
  <c r="E49"/>
  <c r="D49"/>
  <c r="C49"/>
  <c r="E48"/>
  <c r="D48"/>
  <c r="C48"/>
  <c r="E47"/>
  <c r="D47"/>
  <c r="C47"/>
  <c r="E42"/>
  <c r="D42"/>
  <c r="C42"/>
  <c r="E36"/>
  <c r="D36"/>
  <c r="C36"/>
  <c r="E22"/>
  <c r="C22"/>
  <c r="E18"/>
  <c r="D18"/>
  <c r="C18"/>
  <c r="E17"/>
  <c r="D17"/>
  <c r="C17"/>
  <c r="D13" l="1"/>
  <c r="D11"/>
  <c r="I218" i="32" l="1"/>
  <c r="G66" i="29" l="1"/>
  <c r="J218" i="32"/>
  <c r="H66" i="29" l="1"/>
  <c r="I66" s="1"/>
  <c r="K218" i="32"/>
  <c r="J66" i="29" l="1"/>
  <c r="G47"/>
  <c r="G63"/>
  <c r="H63"/>
  <c r="H48"/>
  <c r="H50"/>
  <c r="H42"/>
  <c r="G49"/>
  <c r="H47"/>
  <c r="G48"/>
  <c r="G42"/>
  <c r="G50"/>
  <c r="H49"/>
  <c r="I63" l="1"/>
  <c r="J63"/>
  <c r="J67" s="1"/>
  <c r="G31" i="30" s="1"/>
  <c r="J47" i="29"/>
  <c r="I47"/>
  <c r="J49"/>
  <c r="I49"/>
  <c r="J50"/>
  <c r="I50"/>
  <c r="J48"/>
  <c r="I48"/>
  <c r="J42"/>
  <c r="I42"/>
  <c r="J53" l="1"/>
  <c r="G25" i="30" s="1"/>
  <c r="D31"/>
  <c r="E31"/>
  <c r="F31"/>
  <c r="H31" l="1"/>
  <c r="E25"/>
  <c r="F25"/>
  <c r="D25"/>
  <c r="H25" l="1"/>
  <c r="G39" i="29"/>
  <c r="G40"/>
  <c r="G38"/>
  <c r="H38"/>
  <c r="H40"/>
  <c r="H39"/>
  <c r="J39" l="1"/>
  <c r="I39"/>
  <c r="J38"/>
  <c r="I38"/>
  <c r="J40"/>
  <c r="I40"/>
  <c r="H36" l="1"/>
  <c r="G36"/>
  <c r="C13"/>
  <c r="E13"/>
  <c r="G27" l="1"/>
  <c r="I36"/>
  <c r="J36"/>
  <c r="J44" s="1"/>
  <c r="H29"/>
  <c r="G29"/>
  <c r="J18" i="32"/>
  <c r="I18"/>
  <c r="G13" i="29" s="1"/>
  <c r="G22" i="30" l="1"/>
  <c r="J29" i="29"/>
  <c r="I29"/>
  <c r="H13"/>
  <c r="I13" s="1"/>
  <c r="K18" i="32"/>
  <c r="G28" i="29"/>
  <c r="H27"/>
  <c r="G18"/>
  <c r="G17"/>
  <c r="H18"/>
  <c r="H17"/>
  <c r="E22" i="30" l="1"/>
  <c r="D22"/>
  <c r="F22"/>
  <c r="J13" i="29"/>
  <c r="H28"/>
  <c r="J27"/>
  <c r="I27"/>
  <c r="H22"/>
  <c r="G22"/>
  <c r="J18"/>
  <c r="I18"/>
  <c r="I17"/>
  <c r="J17"/>
  <c r="H22" i="30" l="1"/>
  <c r="J19" i="29"/>
  <c r="G13" i="30" s="1"/>
  <c r="J22" i="29"/>
  <c r="I22"/>
  <c r="I28"/>
  <c r="J28"/>
  <c r="J33" s="1"/>
  <c r="G19" i="30" l="1"/>
  <c r="J24" i="29"/>
  <c r="G16" i="30" s="1"/>
  <c r="E13"/>
  <c r="F13"/>
  <c r="D13"/>
  <c r="E11" i="29"/>
  <c r="C11"/>
  <c r="D16" i="30" l="1"/>
  <c r="F16"/>
  <c r="E16"/>
  <c r="F19"/>
  <c r="H13"/>
  <c r="E19"/>
  <c r="D19"/>
  <c r="H19" l="1"/>
  <c r="H16"/>
  <c r="J56" i="29"/>
  <c r="J60" s="1"/>
  <c r="I56"/>
  <c r="G28" i="30" l="1"/>
  <c r="K67" i="29"/>
  <c r="B9" i="30"/>
  <c r="L67" i="29" l="1"/>
  <c r="K68"/>
  <c r="D28" i="30"/>
  <c r="E28"/>
  <c r="F28"/>
  <c r="J10" i="32"/>
  <c r="H11" i="29" s="1"/>
  <c r="I10" i="32"/>
  <c r="G11" i="29" s="1"/>
  <c r="H28" i="30" l="1"/>
  <c r="I11" i="29"/>
  <c r="K10" i="32"/>
  <c r="I14"/>
  <c r="G12" i="29" l="1"/>
  <c r="J11"/>
  <c r="J14" i="32"/>
  <c r="K14" l="1"/>
  <c r="H12" i="29"/>
  <c r="J12" l="1"/>
  <c r="I12"/>
  <c r="J14" l="1"/>
  <c r="J69" s="1"/>
  <c r="G9" i="30" l="1"/>
  <c r="M14" i="29"/>
  <c r="K14"/>
  <c r="L14" s="1"/>
  <c r="G36" i="30" l="1"/>
  <c r="D9"/>
  <c r="D36" s="1"/>
  <c r="F9"/>
  <c r="F36" s="1"/>
  <c r="E9"/>
  <c r="E36" s="1"/>
  <c r="D38" l="1"/>
  <c r="H9"/>
  <c r="J70" i="29"/>
  <c r="J71" s="1"/>
  <c r="G37" i="30" l="1"/>
  <c r="E38"/>
  <c r="F38"/>
  <c r="K74" i="29" l="1"/>
  <c r="L71"/>
  <c r="G38" i="30"/>
  <c r="C31"/>
  <c r="C19"/>
  <c r="C22"/>
  <c r="C28"/>
  <c r="C13"/>
  <c r="C9"/>
  <c r="C16"/>
  <c r="C25"/>
  <c r="C36" l="1"/>
  <c r="D39"/>
  <c r="E39" s="1"/>
  <c r="F39" s="1"/>
  <c r="D40"/>
  <c r="D41" s="1"/>
  <c r="E40" l="1"/>
  <c r="E41" s="1"/>
  <c r="F40"/>
  <c r="H38"/>
  <c r="I38" s="1"/>
  <c r="F41" l="1"/>
</calcChain>
</file>

<file path=xl/sharedStrings.xml><?xml version="1.0" encoding="utf-8"?>
<sst xmlns="http://schemas.openxmlformats.org/spreadsheetml/2006/main" count="891" uniqueCount="342">
  <si>
    <t>Und</t>
  </si>
  <si>
    <t>M</t>
  </si>
  <si>
    <t>%</t>
  </si>
  <si>
    <t>TOTAL</t>
  </si>
  <si>
    <t>Ítem</t>
  </si>
  <si>
    <t>SINAPI/ COMP.</t>
  </si>
  <si>
    <t>Quant</t>
  </si>
  <si>
    <t>Total</t>
  </si>
  <si>
    <t>SERVIÇOS PRELIMINARES</t>
  </si>
  <si>
    <t>1.1</t>
  </si>
  <si>
    <t>SUB TOTAL</t>
  </si>
  <si>
    <t>CRONOGRAMA FÍSICO FINANCEIRO</t>
  </si>
  <si>
    <t>30dias</t>
  </si>
  <si>
    <t>60dias</t>
  </si>
  <si>
    <t>DESEMBOLSO ACUMULADO</t>
  </si>
  <si>
    <t>PERCENTUAL MENSAL ( % )</t>
  </si>
  <si>
    <t>PERCENTUAL ACUMULADO ( % )</t>
  </si>
  <si>
    <t>H</t>
  </si>
  <si>
    <t>SERT</t>
  </si>
  <si>
    <t>UN</t>
  </si>
  <si>
    <t/>
  </si>
  <si>
    <t>COMPOSICAO</t>
  </si>
  <si>
    <t>CHP</t>
  </si>
  <si>
    <t>SERVENTE COM ENCARGOS COMPLEMENTARES</t>
  </si>
  <si>
    <t>AUXILIAR DE ELETRICISTA COM ENCARGOS COMPLEMENTARES</t>
  </si>
  <si>
    <t>ELETRICISTA COM ENCARGOS COMPLEMENTARES</t>
  </si>
  <si>
    <t>INSUMO</t>
  </si>
  <si>
    <t>INEL</t>
  </si>
  <si>
    <t>MOBILIZACAO E DESMOBILIZAÇÃO DE 01 EQUIPAMENTO CAMINHÃO MUNCK COM CESTO AÉREO, DISTANCIA DE 10KM ATE 20KM</t>
  </si>
  <si>
    <t>COTAÇÃO</t>
  </si>
  <si>
    <t>2.1</t>
  </si>
  <si>
    <t>Material</t>
  </si>
  <si>
    <t>Mão de Obra</t>
  </si>
  <si>
    <t>ART - ANOTAÇÃO DE RESPONSABILIDADE TÉCNICA</t>
  </si>
  <si>
    <t>x</t>
  </si>
  <si>
    <t>2.2</t>
  </si>
  <si>
    <t>Comp.</t>
  </si>
  <si>
    <t>Risco</t>
  </si>
  <si>
    <t>PIS</t>
  </si>
  <si>
    <t>% serv.</t>
  </si>
  <si>
    <t>UN.</t>
  </si>
  <si>
    <t>88264</t>
  </si>
  <si>
    <t>88247</t>
  </si>
  <si>
    <t>88316</t>
  </si>
  <si>
    <t>ANOTAÇÃO DE RESPONSABILIDADE TÉCNICA COM VALOR DE CONTRATO ACIMA DE R$15.000,00</t>
  </si>
  <si>
    <t>21127</t>
  </si>
  <si>
    <t>FITA ISOLANTE ADESIVA ANTICHAMA, USO ATE 750 V, EM ROLO DE 19 MM X 5 M</t>
  </si>
  <si>
    <t>90dias</t>
  </si>
  <si>
    <t>COMÉRCIO</t>
  </si>
  <si>
    <t>TOTAL DAS OBRAS  SEM BDI:</t>
  </si>
  <si>
    <t>TOTAL GERAL DAS OBRAS COM BDI</t>
  </si>
  <si>
    <t>Referência</t>
  </si>
  <si>
    <t>Cóigos</t>
  </si>
  <si>
    <t>Especificações</t>
  </si>
  <si>
    <t>Unidade</t>
  </si>
  <si>
    <t>Coef</t>
  </si>
  <si>
    <t>V. Unit</t>
  </si>
  <si>
    <t>Materiais</t>
  </si>
  <si>
    <t>M. de Obra</t>
  </si>
  <si>
    <t>COMPOSIÇÃO UNITÁRIA DE PREÇOS</t>
  </si>
  <si>
    <t>Especificação</t>
  </si>
  <si>
    <t>M³</t>
  </si>
  <si>
    <t>88309</t>
  </si>
  <si>
    <t>PEDREIRO COM ENCARGOS COMPLEMENTARES</t>
  </si>
  <si>
    <t>SERVIÇOS EM TERRA</t>
  </si>
  <si>
    <t>MOVT</t>
  </si>
  <si>
    <t>93358</t>
  </si>
  <si>
    <t>M3</t>
  </si>
  <si>
    <t>CONCRETO/ALVENARIA</t>
  </si>
  <si>
    <t>88262</t>
  </si>
  <si>
    <t>CARPINTEIRO DE FORMAS COM ENCARGOS COMPLEMENTARES</t>
  </si>
  <si>
    <t>ESTRUTURAS E DUTOS</t>
  </si>
  <si>
    <t>CAIXA DE PASSAGEM 30X30X40 COM TAMPA E DRENO BRITA</t>
  </si>
  <si>
    <t>KG</t>
  </si>
  <si>
    <t>M2</t>
  </si>
  <si>
    <t>CANT</t>
  </si>
  <si>
    <t>PLACA DE OBRA EM CHAPA DE ACO GALVANIZADO</t>
  </si>
  <si>
    <t>94962</t>
  </si>
  <si>
    <t>CONCRETO MAGRO PARA LASTRO, TRAÇO 1:4,5:4,5 (CIMENTO/ AREIA MÉDIA/ BRITA 1)  - PREPARO MECÂNICO COM BETONEIRA 400 L. AF_07/2016</t>
  </si>
  <si>
    <t>4417</t>
  </si>
  <si>
    <t>SARRAFO DE MADEIRA NAO APARELHADA *2,5 X 7* CM, MACARANDUBA, ANGELIM OU EQUIVALENTE DA REGIAO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</si>
  <si>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</si>
  <si>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</si>
  <si>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</si>
  <si>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</si>
  <si>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</si>
  <si>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</si>
  <si>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1.3</t>
  </si>
  <si>
    <t>Custo   Serv.</t>
  </si>
  <si>
    <t>CUSTO</t>
  </si>
  <si>
    <t>ELÉTRICA - DISJUNTORES, QUADROS E CONTATORES</t>
  </si>
  <si>
    <t>ELETROTÉCNICO COM ENCARGOS COMPLEMENTARES</t>
  </si>
  <si>
    <t>COMPOSIÇÃO</t>
  </si>
  <si>
    <t>91929</t>
  </si>
  <si>
    <t>1021</t>
  </si>
  <si>
    <t>CABO DE COBRE, FLEXIVEL, CLASSE 4 OU 5, ISOLACAO EM PVC/A, ANTICHAMA BWF-B, COBERTURA PVC-ST1, ANTICHAMA BWF-B, 1 CONDUTOR, 0,6/1 KV, SECAO NOMINAL 4 MM2</t>
  </si>
  <si>
    <t>91931</t>
  </si>
  <si>
    <t>CABO DE COBRE FLEXÍVEL ISOLADO, 6 MM², ANTI-CHAMA 0,6/1,0 KV, PARA CIRCUITOS TERMINAIS - FORNECIMENTO E INSTALAÇÃO. AF_12/2015</t>
  </si>
  <si>
    <t>994</t>
  </si>
  <si>
    <t>CABO DE COBRE, FLEXIVEL, CLASSE 4 OU 5, ISOLACAO EM PVC/A, ANTICHAMA BWF-B, COBERTURA PVC-ST1, ANTICHAMA BWF-B, 1 CONDUTOR, 0,6/1 KV, SECAO NOMINAL 6 MM2</t>
  </si>
  <si>
    <t>91933</t>
  </si>
  <si>
    <t>CABO DE COBRE FLEXÍVEL ISOLADO, 10 MM², ANTI-CHAMA 0,6/1,0 KV, PARA CIRCUITOS TERMINAIS - FORNECIMENTO E INSTALAÇÃO. AF_12/2015</t>
  </si>
  <si>
    <t>1020</t>
  </si>
  <si>
    <t>CABO DE COBRE ISOLAMENTO ANTI-CHAMA 0,6/1KV 10MM2 (1 CONDUTOR) TP SINTENAX   PIRELLI OU EQUIV</t>
  </si>
  <si>
    <t>ELÉTRICA - DIVERSOS</t>
  </si>
  <si>
    <t>FITA ISOLANTE DE BORRACHA AUTOFUSAO, USO ATE 69 KV (ALTA TENSAO) - FORNECIMENTO E APLICAÇÃO</t>
  </si>
  <si>
    <t xml:space="preserve">FITA ISOLANTE DE BORRACHA AUTOFUSAO, USO ATE 69 KV (ALTA TENSAO) </t>
  </si>
  <si>
    <t>ADMT</t>
  </si>
  <si>
    <t>PLANILHA ORÇAMENTÁRIA</t>
  </si>
  <si>
    <t>8.1</t>
  </si>
  <si>
    <t>8.2</t>
  </si>
  <si>
    <t>INHI</t>
  </si>
  <si>
    <t>AUXILIAR DE ENCANADOR OU BOMBEIRO HIDRÁULICO COM ENCARGOS COMPLEMENTARES</t>
  </si>
  <si>
    <t>ENCANADOR OU BOMBEIRO HIDRÁULICO COM ENCARGOS COMPLEMENTARES</t>
  </si>
  <si>
    <t>OK</t>
  </si>
  <si>
    <t>BASE PARA FUSÍVEL TIPO NH - TAMANHO 00 - FORNECIMENTO E INSTALACAO</t>
  </si>
  <si>
    <t>TERMINAL A COMPRESSAO EM COBRE ESTANHADO PARA CABO 10 MM2, 1 FURO E 1 COMPRESSAO, PARA PARAFUSO DE FIXACAO M6</t>
  </si>
  <si>
    <t xml:space="preserve">COMÉRCIO </t>
  </si>
  <si>
    <t>RELE FOTOELETRICO P/ COMANDO DE ILUMINACAO EXTERNA 220V/1000W COM BASE - FORNECIMENTO E INSTALACAO</t>
  </si>
  <si>
    <t>DISJUNTOR TRIPOLAR TIPO DIN, CORRENTE NOMINAL DE 40A - FORNECIMENTO E INSTALAÇÃO. AF_04/2016</t>
  </si>
  <si>
    <t>TOTAL SERVIÇOS PRELIMINARES</t>
  </si>
  <si>
    <t>88248</t>
  </si>
  <si>
    <t>88267</t>
  </si>
  <si>
    <t xml:space="preserve">DISJUNTOR MONOPOLAR TIPO DIN, CORRENTE NOMINAL DE 2A -  FORNECIMENTO E INSTALAÇÃO. </t>
  </si>
  <si>
    <t>TOTAIS SEM BDI</t>
  </si>
  <si>
    <t xml:space="preserve">DESEMBOLSO MENSAL COM BDI </t>
  </si>
  <si>
    <t>74209/001</t>
  </si>
  <si>
    <t>GUINDAUTO HIDRÁULICO, CAPACIDADE MÁXIMA DE CARGA 3300 KG, MOMENTO MÁXIMO DE CARGA 5,8 TM, ALCANCE MÁXIMO HORIZONTAL 7,60 M, INCLUSIVE CAMINHÃO TOCO PBT 16.000 KG, POTÊNCIA DE 189 CV - CHP DIURNO. AF_03/2016</t>
  </si>
  <si>
    <t>TERMINAL OU CONECTOR DE PRESSAO - PARA CABO 10MM2 - FORNECIMENTO E INSTALACAO</t>
  </si>
  <si>
    <t>TERMINAL METALICO A PRESSAO PARA 1 CABO DE 6 A 10 MM2, COM 1 FURO DE FIXACAO</t>
  </si>
  <si>
    <t>3.1</t>
  </si>
  <si>
    <t>4.1</t>
  </si>
  <si>
    <t>4.2</t>
  </si>
  <si>
    <t>4.3</t>
  </si>
  <si>
    <t>4.4</t>
  </si>
  <si>
    <t>4.5</t>
  </si>
  <si>
    <t>4.6</t>
  </si>
  <si>
    <t>5.1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</si>
  <si>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</si>
  <si>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</si>
  <si>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</si>
  <si>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</si>
  <si>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</si>
  <si>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</si>
  <si>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</si>
  <si>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</si>
  <si>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</si>
  <si>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7.1</t>
  </si>
  <si>
    <t>7.2</t>
  </si>
  <si>
    <t xml:space="preserve">COMPOSIÇÃO </t>
  </si>
  <si>
    <t>REATERRO DE VALA COM COMPACTAÇÃO MANUAL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</si>
  <si>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</si>
  <si>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</si>
  <si>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</si>
  <si>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</si>
  <si>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</si>
  <si>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>FUES</t>
  </si>
  <si>
    <t>CONCRETO FCK = 15MPA, TRAÇO 1:3,4:3,5 (CIMENTO/ AREIA MÉDIA/ BRITA 1) - PREPARO MANUAL. AF_07/2016 (PARA TRAVESSIAS E BASES DOS POSTES)</t>
  </si>
  <si>
    <t>5.8</t>
  </si>
  <si>
    <t>5.9</t>
  </si>
  <si>
    <t xml:space="preserve">74157/004 </t>
  </si>
  <si>
    <t>LANCAMENTO/APLICACAO MANUAL DE CONCRETO EM FUNDACOES</t>
  </si>
  <si>
    <t>90586</t>
  </si>
  <si>
    <t>VIBRADOR DE IMERSÃO, DIÂMETRO DE PONTEIRA 45MM, MOTOR ELÉTRICO TRIFÁSICO POTÊNCIA DE 2 CV - CHP DIURNO. AF_06/2015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</si>
  <si>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</si>
  <si>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</si>
  <si>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V. Unit </t>
  </si>
  <si>
    <t>CABO DE COBRE FLEXÍVEL ISOLADO, 16 MM², ANTI-CHAMA 0,6/1,0 KV, PARA CIRCUITOS TERMINAIS - FORNECIMENTO E INSTALAÇÃO. AF_12/2015</t>
  </si>
  <si>
    <t>CABO DE COBRE, FLEXIVEL, CLASSE 4 OU 5, ISOLACAO EM PVC/A, ANTICHAMA BWF-B, COBERTURA PVC-ST1, ANTICHAMA BWF-B, 1 CONDUTOR, 0,6/1 KV, SECAO NOMINAL 16 MM2</t>
  </si>
  <si>
    <t>CABO DE COBRE FLEXÍVEL ISOLADO, 25 MM², ANTI-CHAMA 0,6/1,0 KV, PARA CIRCUITOS TERMINAIS - FORNECIMENTO E INSTALAÇÃO. AF_12/2015</t>
  </si>
  <si>
    <t>CABO DE COBRE, FLEXIVEL, CLASSE 4 OU 5, ISOLACAO EM PVC/A, ANTICHAMA BWF-B, COBERTURA PVC-ST1, ANTICHAMA BWF-B, 1 CONDUTOR, 0,6/1 KV, SECAO NOMINAL 25 MM2</t>
  </si>
  <si>
    <t>6.5</t>
  </si>
  <si>
    <t>6.6</t>
  </si>
  <si>
    <t>CABO DE COBRE FLEXÍVEL ISOLADO, 4 MM², ANTI-CHAMA 0,6/1,0 KV, PARA CIRCUITOS TERMINAIS - FORNECIMENTO E INSTALAÇÃO. AF_12/2015 (cor verde para aterramento)</t>
  </si>
  <si>
    <t>CONTATOR TRIPOLAR, CORRENTE DE *38* A, TENSAO NOMINAL DE *500* V, CATEGORIA AC-2 E AC-3</t>
  </si>
  <si>
    <t>CONTATOR TRIPOLAR I NOMINAL 36A - FORNECIMENTO E INSTALACAO INCLUSIVE ELETROTÉCNICO</t>
  </si>
  <si>
    <t>FUSÍVEL TIPO NH 30A - TAMANHO 00 - FORNECIMENTO E INSTALACAO</t>
  </si>
  <si>
    <t>93672</t>
  </si>
  <si>
    <t>DISJUNTOR TIPO DIN/IEC, TRIPOLAR DE 10 ATE 50A</t>
  </si>
  <si>
    <t>8.4</t>
  </si>
  <si>
    <t>CONECTOR PARAFUSO FENDIDO SPLIT-BOLT - PARA CABO DE 16MM2 - FORNECIMENTO E INSTALAÇÃO</t>
  </si>
  <si>
    <t>CONECTOR METALICO TIPO PARAFUSO FENDIDO (SPLIT BOLT), PARA CABOS ATE 16 MM2</t>
  </si>
  <si>
    <t>TERMINAL OU CONECTOR DE PRESSAO - PARA CABO 16MM2 - FORNECIMENTO E INSTALACAO</t>
  </si>
  <si>
    <t>TERMINAL METALICO A PRESSAO PARA 1 CABO DE 16 MM2, COM 1 FURO DE FIXACAO</t>
  </si>
  <si>
    <t>3.2</t>
  </si>
  <si>
    <t>ESCAVAÇÃO MANUAL DE VALAS. AF_03/2016 (VALA PARA TUBULAÇÃO E ATERRAMENTO DO TRANSFORMADOR)</t>
  </si>
  <si>
    <t>CREA-MT</t>
  </si>
  <si>
    <t>ELETRODUTO PVC FLEXÍVEL CORRUGADO, DN 32 MM (1"), PARA CIRCUITOS TERMINAIS, INSTALADO EM SOLO - FORNECIMENTO E INSTALAÇÃO.</t>
  </si>
  <si>
    <t xml:space="preserve">ELÉTRICA - FIOS E CABOS </t>
  </si>
  <si>
    <t>OSRAM 90W</t>
  </si>
  <si>
    <t>CUSTO UNITÁRIO</t>
  </si>
  <si>
    <t>Total Unit. (R$)</t>
  </si>
  <si>
    <t>PHILIPS</t>
  </si>
  <si>
    <t>CIDADE : MUNICÍPIO SEDE DE PRIMAVERA DO LESTE - MT</t>
  </si>
  <si>
    <t>ELÉTRICA - POSTES DE ILUMINAÇÃO, LUMINÁRIAS E PADRÃO DE ENERGIA</t>
  </si>
  <si>
    <t>POSTE DE CONCRETO CIRCULAR, 200 KG, H = 15 M (NBR 8451)</t>
  </si>
  <si>
    <t>92873</t>
  </si>
  <si>
    <t>LANÇAMENTO COM USO DE BALDES, ADENSAMENTO E ACABAMENTO DE CONCRETO EM ESTRUTURAS. AF_12/2015</t>
  </si>
  <si>
    <t>94969</t>
  </si>
  <si>
    <t>CONCRETO FCK = 15MPA, TRAÇO 1:3,4:3,5 (CIMENTO/ AREIA MÉDIA/ BRITA 1)  - PREPARO MECÂNICO COM BETONEIRA 600 L. AF_07/2016</t>
  </si>
  <si>
    <t>ENTRADA DE ENERGIA ELETRICA AEREA TRIFASICA 40A EM POSTE DE CONCRETO DUPLO T - FORNECIMENTO E IMPLANTAÇÃO</t>
  </si>
  <si>
    <t>406</t>
  </si>
  <si>
    <t>FITA ACO INOX PARA CINTAR POSTE, L = 19 MM, E = 0,5 MM (ROLO DE 30M)</t>
  </si>
  <si>
    <t>420</t>
  </si>
  <si>
    <t>CINTA CIRCULAR EM ACO GALVANIZADO DE 150 MM DE DIAMETRO PARA FIXACAO DE CAIXA MEDICAO</t>
  </si>
  <si>
    <t>857</t>
  </si>
  <si>
    <t>CABO DE COBRE NU 16 MM2 MEIO-DURO</t>
  </si>
  <si>
    <t>937</t>
  </si>
  <si>
    <t>FIO RIGIDO, ISOLACAO EM PVC 450/750V 10MM2</t>
  </si>
  <si>
    <t>1062</t>
  </si>
  <si>
    <t>CAIXA DE MEDICAO COM VISOR, PARA 1 MEDIDOR TRIFASICO, EM CHAPA DE ACO GALVANIZADO 18 USG (SEM MEDIDOR E DISJUNTOR) (PADRAO DA CONCESSIONARIA LOCAL)</t>
  </si>
  <si>
    <t>1096</t>
  </si>
  <si>
    <t>ARMACAO VERTICAL COM HASTE E CONTRA-PINO, EM CHAPA DE ACO GALVANIZADO 3/16", COM 4 ESTRIBOS E 4 ISOLADORES</t>
  </si>
  <si>
    <t>1539</t>
  </si>
  <si>
    <t>1892</t>
  </si>
  <si>
    <t>LUVA PVC ROSCAVEL P/ ELETRODUTO 1"</t>
  </si>
  <si>
    <t>2392</t>
  </si>
  <si>
    <t>DISJUNTOR TIPO NEMA, TRIPOLAR 10  ATE  50A</t>
  </si>
  <si>
    <t>2685</t>
  </si>
  <si>
    <t>ELETRODUTO DE PVC ROSCÁVEL DE 1, SEM LUVA</t>
  </si>
  <si>
    <t>3379</t>
  </si>
  <si>
    <t>HASTE DE ATERRAMENTO EM ACO COM 3,00 M DE COMPRIMENTO E DN = 5/8", REVESTIDA COM BAIXA CAMADA DE COBRE, SEM CONECTOR</t>
  </si>
  <si>
    <t>4346</t>
  </si>
  <si>
    <t>PARAFUSO DE FERRO POLIDO, SEXTAVADO, COM ROSCA PARCIAL, DIAMETRO 5/8", COMPRIMENTO 6", COM PORCA E ARRUELA DE PRESSAO MEDIA</t>
  </si>
  <si>
    <t>POSTE DE CONCRETO DUPLO T H=9M CARGA NOMINAL 600KG INCLUSIVE ESCAVACAO , EXCLUSIVE TRANSPORTE - FORNECIMENTO E INSTALACAO</t>
  </si>
  <si>
    <t>73798/001</t>
  </si>
  <si>
    <t>ELETRODUTO/DUTO PEAD FLEXIVEL PAREDE SIMPLES, CORRUGACAO HELICOIDAL, COR PRETA, SEM ROSCA, DE 2",  PARA CABEAMENTO SUBTERRANEO (NBR 15715)</t>
  </si>
  <si>
    <t>OBRA: IMPLANTAÇÃO DO SISTEMA DE ILUMINAÇÃO PÚBLICA DO TIPO ORNAMENTAL COM LUMINÁRIAS LED</t>
  </si>
  <si>
    <t>LOCAL: PARQUE LINEAR</t>
  </si>
  <si>
    <r>
      <t xml:space="preserve">VERIFICAÇÃO DO BDI - ACÓRDÃO 2.622/2013      </t>
    </r>
    <r>
      <rPr>
        <b/>
        <sz val="10"/>
        <rFont val="Cambria"/>
        <family val="1"/>
        <scheme val="major"/>
      </rPr>
      <t xml:space="preserve"> Rev 02</t>
    </r>
  </si>
  <si>
    <t>DADOS INICIAIS</t>
  </si>
  <si>
    <t>TIPO DE OBRA:</t>
  </si>
  <si>
    <t>Construção e Manutenção de Estações e Redes de Distribuição de Energia Elétrica</t>
  </si>
  <si>
    <t>ENQUADRAMENTO NA DESONERAÇÃO CONFORME LEI N° 12.844/2013:*</t>
  </si>
  <si>
    <t>NÃO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</si>
  <si>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</si>
  <si>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</si>
  <si>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</si>
  <si>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</si>
  <si>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</si>
  <si>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</si>
  <si>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</si>
  <si>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</si>
  <si>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</si>
  <si>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</si>
  <si>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</si>
  <si>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</si>
  <si>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</si>
  <si>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</si>
  <si>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</si>
  <si>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</si>
  <si>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Administração Central</t>
  </si>
  <si>
    <t>Seguro e Garantia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</si>
  <si>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</si>
  <si>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</si>
  <si>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</si>
  <si>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</si>
  <si>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</si>
  <si>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</si>
  <si>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</si>
  <si>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</si>
  <si>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</si>
  <si>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</si>
  <si>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CÓDIGO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</si>
  <si>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</si>
  <si>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</si>
  <si>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</si>
  <si>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</si>
  <si>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</si>
  <si>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</si>
  <si>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</si>
  <si>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</si>
  <si>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</si>
  <si>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</si>
  <si>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</si>
  <si>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</si>
  <si>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</si>
  <si>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</si>
  <si>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</si>
  <si>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</si>
  <si>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</si>
  <si>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</si>
  <si>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</si>
  <si>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</si>
  <si>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</si>
  <si>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</si>
  <si>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</si>
  <si>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</si>
  <si>
    <t>BENEFÍCIOS DE DESPESAS INDIRETAS - ( B.D.I.: 24,90 %)</t>
  </si>
  <si>
    <t>BASE PARA RELE COM SUPORTE METALICO</t>
  </si>
  <si>
    <t>RELE FOTOELETRICO/ELETRÔNICO 1000W/220V SEM BASE</t>
  </si>
  <si>
    <t>SUPORTE DE 3 PÉTALAS PARA INSTALAÇÃO DE LUMINÁRIAS EM TOPO DE POSTE DE CONCRETO DIANMETRO = 114,30MM - FORNECIMENTO E INSTALAÇÃO</t>
  </si>
  <si>
    <t>SUPORTE DE 3 PÉTALAS PARA INSTALAÇÃO DE LUMINÁRIAS EM TOPO DE POSTE DE CONCRETO  DIANMETRO = 114,30MM.</t>
  </si>
  <si>
    <t>1.2</t>
  </si>
  <si>
    <t>7.3</t>
  </si>
  <si>
    <t>7.4</t>
  </si>
  <si>
    <t>8.3</t>
  </si>
  <si>
    <t>REFERENCIA</t>
  </si>
  <si>
    <t>DUTO ESPIRAL FLEXIVEL SINGELO PEAD D=60MM(2") REVESTIDO COM PVC COM FIO GUIA DE ACO GALVANIZADO, LANCADO DIRETO NO SOLO, INCL CONEXOES</t>
  </si>
  <si>
    <t>TUBO ACO GALVANIZADO COM COSTURA, CLASSE MEDIA, DN 2", E = *3,65* MM, PESO *5,10*KG/M (NBR 5580)</t>
  </si>
  <si>
    <t>TUBO DE AÇO GALVANIZADO COM COSTURA, CLASSE MÉDIA, DN 50 (2"), CONEXÃO ROSQUEADA, INSTALADO EM REDE DE ALIMENTAÇÃO PARA HIDRANTE - FORNECIMENTO E INSTALAÇÃO. AF_12/2015</t>
  </si>
  <si>
    <t>CURVA 90 GRAUS, PVC, ROSCÁVEL, DN 50MM (2") - FORNECIMENTO E INSTALAÇÃO.</t>
  </si>
  <si>
    <t>CURVA 90 GRAUS, LONGA, DE PVC RIGIDO ROSCAVEL, DE 2", PARA ELETRODUTO</t>
  </si>
  <si>
    <t>LUVA PARA ELETRODUTO, PVC, ROSCÁVEL, DN 50 MM (2") - FORNECIMENTO E INSTALAÇÃO.</t>
  </si>
  <si>
    <t>LUVA EM PVC RIGIDO ROSCAVEL, DE 2", PARA ELETRODUTO</t>
  </si>
  <si>
    <t>Resolução CREA 1.067, de 26/09/2015 (PL 1758/2017)</t>
  </si>
  <si>
    <t>DISJUNTOR TIPO DIN/IEC, MONOPOLAR DE 6 ATE 32A</t>
  </si>
  <si>
    <t>TERMINAL A COMPRESSAO EM COBRE ESTANHADO PARA CABO 2,5 MM2, 1 FURO E 1 COMPRESSAO, PARA PARAFUSO DE FIXACAO M5</t>
  </si>
  <si>
    <t>COMPOSIÇÃO REFERÊNCIA: SINAPI - 93653</t>
  </si>
  <si>
    <t>COMPOSIÇÃO REFERÊNCIA: SINAPI - 93020</t>
  </si>
  <si>
    <t>COMPOSIÇÃO REFERÊNCIA: SINAPI - 91844</t>
  </si>
  <si>
    <t>QUADRO DE DISTRIBUICAO DE ENERGIA EM CHAPA DE ACO GALVANIZADO, PARA 12 DISJUNTORES TERMOMAGNETICOS MONOPOLARES, COM BARRAMENTO TRIFASICO E NEUTRO - FORNECIMENTO E INSTALACAO</t>
  </si>
  <si>
    <t>83463</t>
  </si>
  <si>
    <t>13393</t>
  </si>
  <si>
    <t>QUADRO DE DISTRIBUICAO COM BARRAMENTO TRIFASICO, DE EMBUTIR, EM CHAPA DE ACO GALVANIZADO, PARA 12 DISJUNTORES DIN, 100 A</t>
  </si>
  <si>
    <t>96985</t>
  </si>
  <si>
    <t>HASTE DE ATERRAMENTO 5/8  PARA SPDA - FORNECIMENTO E INSTALAÇÃO. AF_12/2017</t>
  </si>
  <si>
    <t>!EM PROCESSO DE DESATIVACAO! HASTE DE ATERRAMENTO EM ACO COM 3,00 M DE COMPRIMENTO E DN = 5/8", REVESTIDA COM BAIXA CAMADA DE COBRE, SEM CONECTOR</t>
  </si>
  <si>
    <t>FUSIVEL NH 36 A TAMANHO 00, CAPACIDADE DE INTERRUPCAO DE 120 KA, TENSAO NOMIMNAL DE 500 V</t>
  </si>
  <si>
    <t>COMPOSIÇÃO REFERÊNCIA: SINAPI - 72330</t>
  </si>
  <si>
    <t>COMPOSIÇÃO REFERÊNCIA: SINAPI - 83487</t>
  </si>
  <si>
    <t>13374</t>
  </si>
  <si>
    <t>BASE PARA FUSIVEIS NH DE 6A A 160A</t>
  </si>
  <si>
    <t>COMPOSIÇÃO REFERÊNCIA: SINAPI - 83399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</si>
  <si>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</si>
  <si>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</si>
  <si>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</si>
  <si>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</si>
  <si>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COMPOSIÇÃO REFERÊNCIA: SINAPI - 73783/008</t>
  </si>
  <si>
    <t>POSTE CONCRETO SEÇÃO CIRCULAR COMPRIMENTO=15M  E CARGA NOMINAL 200KG INCLUSIVE ESCAVACAO EXCLUSIVE TRANSPORTE - FORNECIMENTO E COLOCAÇÃO</t>
  </si>
  <si>
    <t>COMPOSIÇÃO REFERÊNCIA: SINAPI - 41598</t>
  </si>
  <si>
    <t>COMPOSIÇÃO REFERÊNCIA: SINAPI 74231/001</t>
  </si>
  <si>
    <t>03101/ORSE</t>
  </si>
  <si>
    <t>COMPOSIÇÃO REFERÊNCIA: SEM</t>
  </si>
  <si>
    <t>CONECTOR PARAFUSO FENDIDO SPLIT-BOLT - PARA CABO DE 35MM2 - FORNECIMENTO E INSTALAÇÃO</t>
  </si>
  <si>
    <t>CONECTOR METALICO TIPO PARAFUSO FENDIDO (SPLIT BOLT), PARA CABOS ATE 35 MM2</t>
  </si>
  <si>
    <t>BASE DE PREÇO SINAPI-MT-08/2018</t>
  </si>
  <si>
    <t xml:space="preserve">COMPOSIÇÃO  </t>
  </si>
  <si>
    <t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t>
  </si>
  <si>
    <t>LUMINARIA DE LED PARA ILUMINACAO PÚBLICA, COM POTÊNCIA DE CONSUMO DE 150W E EFICIENCIA 110LM/W, FLUXO TOTAL MÍNIMO 16.500LM,  TEMPERATURA DE COR= 5000K +/- 400K, IRC&gt;70, TENSÃO DE ALIMENTAÇÃO ~90 A 277V E DISPOSITIVO DE PROTEÇÃO CONTRA DESCARGAS ATMOSFÉRICA-DPS, IP-66</t>
  </si>
  <si>
    <t>CIDADE: PRIMAVERA DO LESTE/MT</t>
  </si>
  <si>
    <t>ELETRODUTO PVC FLEXIVEL CORRUGADO, COR AMARELA, DE 32 MM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</si>
</sst>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  <numFmt numFmtId="167" formatCode="_-* #,##0.00_-;\-* #,##0.00_-;_-* &quot;-&quot;?????_-;_-@_-"/>
    <numFmt numFmtId="168" formatCode="_-* #,##0.00000_-;\-* #,##0.00000_-;_-* &quot;-&quot;??_-;_-@_-"/>
    <numFmt numFmtId="169" formatCode="0.00000"/>
    <numFmt numFmtId="170" formatCode="0.000"/>
    <numFmt numFmtId="171" formatCode="_-* #,##0.0000000_-;\-* #,##0.0000000_-;_-* &quot;-&quot;??_-;_-@_-"/>
    <numFmt numFmtId="172" formatCode="0.0000"/>
    <numFmt numFmtId="173" formatCode="#,##0.00_ ;\-#,##0.00\ "/>
    <numFmt numFmtId="174" formatCode="0.000%"/>
    <numFmt numFmtId="175" formatCode="0.0%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indexed="12"/>
      <name val="Cambria"/>
      <family val="1"/>
      <scheme val="major"/>
    </font>
    <font>
      <b/>
      <sz val="10"/>
      <color indexed="10"/>
      <name val="Cambria"/>
      <family val="1"/>
      <scheme val="major"/>
    </font>
    <font>
      <sz val="9"/>
      <name val="Cambria"/>
      <family val="1"/>
      <scheme val="major"/>
    </font>
    <font>
      <sz val="10"/>
      <color indexed="10"/>
      <name val="Cambria"/>
      <family val="1"/>
      <scheme val="major"/>
    </font>
    <font>
      <b/>
      <sz val="12"/>
      <color indexed="10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color indexed="10"/>
      <name val="Cambria"/>
      <family val="1"/>
      <scheme val="major"/>
    </font>
    <font>
      <b/>
      <sz val="14"/>
      <color indexed="10"/>
      <name val="Cambria"/>
      <family val="1"/>
      <scheme val="major"/>
    </font>
    <font>
      <b/>
      <sz val="10"/>
      <color indexed="62"/>
      <name val="Cambria"/>
      <family val="1"/>
      <scheme val="major"/>
    </font>
    <font>
      <sz val="10"/>
      <color indexed="62"/>
      <name val="Cambria"/>
      <family val="1"/>
      <scheme val="major"/>
    </font>
    <font>
      <sz val="11"/>
      <name val="Cambria"/>
      <family val="1"/>
      <scheme val="major"/>
    </font>
    <font>
      <sz val="10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20">
    <xf numFmtId="0" fontId="0" fillId="0" borderId="0"/>
    <xf numFmtId="166" fontId="6" fillId="0" borderId="0" applyBorder="0" applyProtection="0"/>
    <xf numFmtId="165" fontId="6" fillId="0" borderId="0" applyBorder="0" applyProtection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3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24" fillId="30" borderId="1" applyNumberFormat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9" fillId="12" borderId="2" applyNumberFormat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5" fillId="5" borderId="1" applyNumberFormat="0" applyAlignment="0" applyProtection="0"/>
    <xf numFmtId="0" fontId="28" fillId="0" borderId="21" applyNumberFormat="0" applyFill="0" applyAlignment="0" applyProtection="0"/>
    <xf numFmtId="0" fontId="14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4" borderId="4" applyNumberFormat="0" applyFont="0" applyAlignment="0" applyProtection="0"/>
    <xf numFmtId="0" fontId="4" fillId="4" borderId="4" applyNumberFormat="0" applyFont="0" applyAlignment="0" applyProtection="0"/>
    <xf numFmtId="0" fontId="16" fillId="30" borderId="5" applyNumberFormat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0" borderId="50" applyNumberFormat="0" applyAlignment="0" applyProtection="0"/>
    <xf numFmtId="0" fontId="17" fillId="11" borderId="50" applyNumberFormat="0" applyAlignment="0" applyProtection="0"/>
    <xf numFmtId="0" fontId="15" fillId="7" borderId="50" applyNumberFormat="0" applyAlignment="0" applyProtection="0"/>
    <xf numFmtId="0" fontId="15" fillId="5" borderId="50" applyNumberFormat="0" applyAlignment="0" applyProtection="0"/>
    <xf numFmtId="0" fontId="5" fillId="4" borderId="51" applyNumberFormat="0" applyFont="0" applyAlignment="0" applyProtection="0"/>
    <xf numFmtId="0" fontId="4" fillId="4" borderId="51" applyNumberFormat="0" applyFont="0" applyAlignment="0" applyProtection="0"/>
    <xf numFmtId="0" fontId="16" fillId="30" borderId="52" applyNumberFormat="0" applyAlignment="0" applyProtection="0"/>
    <xf numFmtId="0" fontId="16" fillId="11" borderId="52" applyNumberFormat="0" applyAlignment="0" applyProtection="0"/>
    <xf numFmtId="0" fontId="21" fillId="0" borderId="53" applyNumberFormat="0" applyFill="0" applyAlignment="0" applyProtection="0"/>
    <xf numFmtId="0" fontId="5" fillId="4" borderId="51" applyNumberFormat="0" applyFont="0" applyAlignment="0" applyProtection="0"/>
    <xf numFmtId="0" fontId="5" fillId="4" borderId="51" applyNumberFormat="0" applyFont="0" applyAlignment="0" applyProtection="0"/>
    <xf numFmtId="0" fontId="5" fillId="4" borderId="51" applyNumberFormat="0" applyFont="0" applyAlignment="0" applyProtection="0"/>
  </cellStyleXfs>
  <cellXfs count="434">
    <xf numFmtId="0" fontId="0" fillId="0" borderId="0" xfId="0"/>
    <xf numFmtId="4" fontId="32" fillId="20" borderId="0" xfId="4" applyNumberFormat="1" applyFont="1" applyFill="1" applyBorder="1" applyAlignment="1">
      <alignment vertical="center"/>
    </xf>
    <xf numFmtId="4" fontId="32" fillId="20" borderId="27" xfId="4" applyNumberFormat="1" applyFont="1" applyFill="1" applyBorder="1" applyAlignment="1">
      <alignment vertical="center"/>
    </xf>
    <xf numFmtId="0" fontId="37" fillId="20" borderId="45" xfId="0" applyFont="1" applyFill="1" applyBorder="1" applyAlignment="1">
      <alignment horizontal="center" vertical="center"/>
    </xf>
    <xf numFmtId="0" fontId="32" fillId="20" borderId="47" xfId="0" applyFont="1" applyFill="1" applyBorder="1"/>
    <xf numFmtId="1" fontId="32" fillId="20" borderId="47" xfId="0" applyNumberFormat="1" applyFont="1" applyFill="1" applyBorder="1"/>
    <xf numFmtId="170" fontId="32" fillId="20" borderId="47" xfId="0" applyNumberFormat="1" applyFont="1" applyFill="1" applyBorder="1"/>
    <xf numFmtId="2" fontId="32" fillId="20" borderId="47" xfId="0" applyNumberFormat="1" applyFont="1" applyFill="1" applyBorder="1" applyAlignment="1">
      <alignment horizontal="right"/>
    </xf>
    <xf numFmtId="43" fontId="32" fillId="20" borderId="47" xfId="0" applyNumberFormat="1" applyFont="1" applyFill="1" applyBorder="1" applyAlignment="1">
      <alignment horizontal="right"/>
    </xf>
    <xf numFmtId="43" fontId="32" fillId="20" borderId="47" xfId="0" applyNumberFormat="1" applyFont="1" applyFill="1" applyBorder="1"/>
    <xf numFmtId="43" fontId="32" fillId="20" borderId="46" xfId="0" applyNumberFormat="1" applyFont="1" applyFill="1" applyBorder="1"/>
    <xf numFmtId="0" fontId="32" fillId="0" borderId="0" xfId="0" applyFont="1" applyFill="1"/>
    <xf numFmtId="4" fontId="32" fillId="20" borderId="23" xfId="4" applyNumberFormat="1" applyFont="1" applyFill="1" applyBorder="1" applyAlignment="1">
      <alignment vertical="center"/>
    </xf>
    <xf numFmtId="0" fontId="32" fillId="20" borderId="0" xfId="0" applyFont="1" applyFill="1" applyBorder="1"/>
    <xf numFmtId="4" fontId="32" fillId="20" borderId="0" xfId="4" applyNumberFormat="1" applyFont="1" applyFill="1" applyBorder="1" applyAlignment="1">
      <alignment vertical="center" wrapText="1"/>
    </xf>
    <xf numFmtId="170" fontId="32" fillId="20" borderId="0" xfId="4" applyNumberFormat="1" applyFont="1" applyFill="1" applyBorder="1" applyAlignment="1">
      <alignment vertical="center" wrapText="1"/>
    </xf>
    <xf numFmtId="2" fontId="32" fillId="20" borderId="0" xfId="4" applyNumberFormat="1" applyFont="1" applyFill="1" applyBorder="1" applyAlignment="1">
      <alignment horizontal="right" vertical="center" wrapText="1"/>
    </xf>
    <xf numFmtId="43" fontId="32" fillId="20" borderId="0" xfId="4" applyNumberFormat="1" applyFont="1" applyFill="1" applyBorder="1" applyAlignment="1">
      <alignment horizontal="right" vertical="center" wrapText="1"/>
    </xf>
    <xf numFmtId="4" fontId="32" fillId="20" borderId="24" xfId="4" applyNumberFormat="1" applyFont="1" applyFill="1" applyBorder="1" applyAlignment="1">
      <alignment vertical="center" wrapText="1"/>
    </xf>
    <xf numFmtId="170" fontId="32" fillId="20" borderId="0" xfId="4" applyNumberFormat="1" applyFont="1" applyFill="1" applyBorder="1" applyAlignment="1">
      <alignment vertical="center"/>
    </xf>
    <xf numFmtId="2" fontId="32" fillId="20" borderId="0" xfId="4" applyNumberFormat="1" applyFont="1" applyFill="1" applyBorder="1" applyAlignment="1">
      <alignment horizontal="right" vertical="center"/>
    </xf>
    <xf numFmtId="43" fontId="32" fillId="20" borderId="0" xfId="4" applyNumberFormat="1" applyFont="1" applyFill="1" applyBorder="1" applyAlignment="1">
      <alignment horizontal="right" vertical="center"/>
    </xf>
    <xf numFmtId="4" fontId="32" fillId="20" borderId="24" xfId="4" applyNumberFormat="1" applyFont="1" applyFill="1" applyBorder="1" applyAlignment="1">
      <alignment vertical="center"/>
    </xf>
    <xf numFmtId="0" fontId="32" fillId="20" borderId="23" xfId="0" applyFont="1" applyFill="1" applyBorder="1" applyAlignment="1">
      <alignment horizontal="left" vertical="center"/>
    </xf>
    <xf numFmtId="0" fontId="37" fillId="20" borderId="23" xfId="0" applyFont="1" applyFill="1" applyBorder="1" applyAlignment="1">
      <alignment horizontal="left" vertical="center"/>
    </xf>
    <xf numFmtId="4" fontId="36" fillId="20" borderId="0" xfId="4" applyNumberFormat="1" applyFont="1" applyFill="1" applyBorder="1" applyAlignment="1">
      <alignment vertical="center" wrapText="1"/>
    </xf>
    <xf numFmtId="170" fontId="36" fillId="20" borderId="0" xfId="4" applyNumberFormat="1" applyFont="1" applyFill="1" applyBorder="1" applyAlignment="1">
      <alignment vertical="center" wrapText="1"/>
    </xf>
    <xf numFmtId="2" fontId="36" fillId="20" borderId="0" xfId="4" applyNumberFormat="1" applyFont="1" applyFill="1" applyBorder="1" applyAlignment="1">
      <alignment horizontal="right" vertical="center" wrapText="1"/>
    </xf>
    <xf numFmtId="43" fontId="32" fillId="20" borderId="0" xfId="0" applyNumberFormat="1" applyFont="1" applyFill="1" applyBorder="1" applyAlignment="1">
      <alignment horizontal="right"/>
    </xf>
    <xf numFmtId="43" fontId="32" fillId="20" borderId="0" xfId="0" applyNumberFormat="1" applyFont="1" applyFill="1" applyBorder="1"/>
    <xf numFmtId="43" fontId="32" fillId="20" borderId="24" xfId="0" applyNumberFormat="1" applyFont="1" applyFill="1" applyBorder="1"/>
    <xf numFmtId="0" fontId="37" fillId="20" borderId="40" xfId="0" applyFont="1" applyFill="1" applyBorder="1" applyAlignment="1">
      <alignment horizontal="center" vertical="center"/>
    </xf>
    <xf numFmtId="0" fontId="32" fillId="20" borderId="41" xfId="0" applyFont="1" applyFill="1" applyBorder="1"/>
    <xf numFmtId="1" fontId="32" fillId="20" borderId="41" xfId="0" applyNumberFormat="1" applyFont="1" applyFill="1" applyBorder="1"/>
    <xf numFmtId="0" fontId="38" fillId="0" borderId="13" xfId="0" applyFont="1" applyFill="1" applyBorder="1" applyAlignment="1">
      <alignment horizontal="center" vertical="center"/>
    </xf>
    <xf numFmtId="0" fontId="36" fillId="0" borderId="13" xfId="4" applyFont="1" applyFill="1" applyBorder="1" applyAlignment="1">
      <alignment horizontal="center" vertical="center" wrapText="1"/>
    </xf>
    <xf numFmtId="1" fontId="36" fillId="0" borderId="13" xfId="4" applyNumberFormat="1" applyFont="1" applyFill="1" applyBorder="1" applyAlignment="1">
      <alignment horizontal="center" vertical="center" wrapText="1"/>
    </xf>
    <xf numFmtId="170" fontId="36" fillId="0" borderId="13" xfId="4" applyNumberFormat="1" applyFont="1" applyFill="1" applyBorder="1" applyAlignment="1">
      <alignment horizontal="center" vertical="center" wrapText="1"/>
    </xf>
    <xf numFmtId="2" fontId="36" fillId="0" borderId="13" xfId="4" applyNumberFormat="1" applyFont="1" applyFill="1" applyBorder="1" applyAlignment="1">
      <alignment horizontal="right" vertical="center" wrapText="1"/>
    </xf>
    <xf numFmtId="43" fontId="36" fillId="0" borderId="13" xfId="4" applyNumberFormat="1" applyFont="1" applyFill="1" applyBorder="1" applyAlignment="1">
      <alignment horizontal="right" vertical="center" wrapText="1"/>
    </xf>
    <xf numFmtId="43" fontId="36" fillId="0" borderId="13" xfId="4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center" vertical="center" wrapText="1"/>
    </xf>
    <xf numFmtId="1" fontId="36" fillId="0" borderId="0" xfId="4" applyNumberFormat="1" applyFont="1" applyFill="1" applyBorder="1" applyAlignment="1">
      <alignment horizontal="center" vertical="center" wrapText="1"/>
    </xf>
    <xf numFmtId="170" fontId="36" fillId="0" borderId="0" xfId="4" applyNumberFormat="1" applyFont="1" applyFill="1" applyBorder="1" applyAlignment="1">
      <alignment horizontal="center" vertical="center" wrapText="1"/>
    </xf>
    <xf numFmtId="2" fontId="36" fillId="0" borderId="0" xfId="4" applyNumberFormat="1" applyFont="1" applyFill="1" applyBorder="1" applyAlignment="1">
      <alignment horizontal="right" vertical="center" wrapText="1"/>
    </xf>
    <xf numFmtId="43" fontId="36" fillId="0" borderId="0" xfId="4" applyNumberFormat="1" applyFont="1" applyFill="1" applyBorder="1" applyAlignment="1">
      <alignment horizontal="right" vertical="center" wrapText="1"/>
    </xf>
    <xf numFmtId="43" fontId="36" fillId="0" borderId="0" xfId="4" applyNumberFormat="1" applyFont="1" applyFill="1" applyBorder="1" applyAlignment="1">
      <alignment horizontal="center" vertical="center" wrapText="1"/>
    </xf>
    <xf numFmtId="43" fontId="36" fillId="0" borderId="13" xfId="104" applyNumberFormat="1" applyFont="1" applyFill="1" applyBorder="1" applyAlignment="1">
      <alignment horizontal="right" vertical="center" wrapText="1"/>
    </xf>
    <xf numFmtId="43" fontId="36" fillId="0" borderId="13" xfId="104" applyNumberFormat="1" applyFont="1" applyFill="1" applyBorder="1" applyAlignment="1">
      <alignment horizontal="center" vertical="center" wrapText="1"/>
    </xf>
    <xf numFmtId="2" fontId="36" fillId="0" borderId="12" xfId="4" applyNumberFormat="1" applyFont="1" applyFill="1" applyBorder="1" applyAlignment="1">
      <alignment horizontal="center" vertical="center" wrapText="1"/>
    </xf>
    <xf numFmtId="170" fontId="36" fillId="0" borderId="12" xfId="4" applyNumberFormat="1" applyFont="1" applyFill="1" applyBorder="1" applyAlignment="1">
      <alignment horizontal="center" vertical="center" wrapText="1"/>
    </xf>
    <xf numFmtId="2" fontId="36" fillId="0" borderId="12" xfId="4" applyNumberFormat="1" applyFont="1" applyFill="1" applyBorder="1" applyAlignment="1">
      <alignment horizontal="right" vertical="center" wrapText="1"/>
    </xf>
    <xf numFmtId="43" fontId="36" fillId="0" borderId="12" xfId="4" applyNumberFormat="1" applyFont="1" applyFill="1" applyBorder="1" applyAlignment="1">
      <alignment horizontal="right" vertical="center" wrapText="1"/>
    </xf>
    <xf numFmtId="43" fontId="36" fillId="0" borderId="12" xfId="4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1" fontId="32" fillId="0" borderId="0" xfId="0" applyNumberFormat="1" applyFont="1" applyFill="1"/>
    <xf numFmtId="170" fontId="32" fillId="0" borderId="0" xfId="0" applyNumberFormat="1" applyFont="1" applyFill="1"/>
    <xf numFmtId="43" fontId="32" fillId="0" borderId="0" xfId="0" applyNumberFormat="1" applyFont="1" applyFill="1" applyAlignment="1">
      <alignment horizontal="right"/>
    </xf>
    <xf numFmtId="43" fontId="32" fillId="0" borderId="0" xfId="0" applyNumberFormat="1" applyFont="1" applyFill="1"/>
    <xf numFmtId="1" fontId="36" fillId="0" borderId="12" xfId="4" applyNumberFormat="1" applyFont="1" applyFill="1" applyBorder="1" applyAlignment="1">
      <alignment horizontal="center" vertical="center" wrapText="1"/>
    </xf>
    <xf numFmtId="0" fontId="36" fillId="0" borderId="0" xfId="104" applyFont="1" applyFill="1" applyBorder="1" applyAlignment="1">
      <alignment horizontal="center" vertical="center" wrapText="1"/>
    </xf>
    <xf numFmtId="0" fontId="36" fillId="20" borderId="0" xfId="104" applyFont="1" applyFill="1" applyBorder="1" applyAlignment="1">
      <alignment horizontal="center" vertical="center" wrapText="1"/>
    </xf>
    <xf numFmtId="170" fontId="36" fillId="20" borderId="0" xfId="104" applyNumberFormat="1" applyFont="1" applyFill="1" applyBorder="1" applyAlignment="1">
      <alignment horizontal="center" vertical="center" wrapText="1"/>
    </xf>
    <xf numFmtId="2" fontId="36" fillId="20" borderId="0" xfId="104" applyNumberFormat="1" applyFont="1" applyFill="1" applyBorder="1" applyAlignment="1">
      <alignment horizontal="right" vertical="center" wrapText="1"/>
    </xf>
    <xf numFmtId="43" fontId="36" fillId="20" borderId="0" xfId="104" applyNumberFormat="1" applyFont="1" applyFill="1" applyBorder="1" applyAlignment="1">
      <alignment horizontal="right" vertical="center" wrapText="1"/>
    </xf>
    <xf numFmtId="43" fontId="36" fillId="0" borderId="0" xfId="104" applyNumberFormat="1" applyFont="1" applyFill="1" applyBorder="1" applyAlignment="1">
      <alignment horizontal="center" vertical="center" wrapText="1"/>
    </xf>
    <xf numFmtId="43" fontId="36" fillId="20" borderId="0" xfId="104" applyNumberFormat="1" applyFont="1" applyFill="1" applyBorder="1" applyAlignment="1">
      <alignment horizontal="center" vertical="center" wrapText="1"/>
    </xf>
    <xf numFmtId="0" fontId="36" fillId="0" borderId="13" xfId="104" applyFont="1" applyFill="1" applyBorder="1" applyAlignment="1">
      <alignment horizontal="center" vertical="center" wrapText="1"/>
    </xf>
    <xf numFmtId="170" fontId="36" fillId="0" borderId="13" xfId="104" applyNumberFormat="1" applyFont="1" applyFill="1" applyBorder="1" applyAlignment="1">
      <alignment horizontal="center" vertical="center" wrapText="1"/>
    </xf>
    <xf numFmtId="2" fontId="36" fillId="0" borderId="13" xfId="104" applyNumberFormat="1" applyFont="1" applyFill="1" applyBorder="1" applyAlignment="1">
      <alignment horizontal="right" vertical="center" wrapText="1"/>
    </xf>
    <xf numFmtId="0" fontId="37" fillId="32" borderId="13" xfId="4" applyFont="1" applyFill="1" applyBorder="1" applyAlignment="1">
      <alignment horizontal="center" vertical="center" wrapText="1"/>
    </xf>
    <xf numFmtId="1" fontId="35" fillId="32" borderId="13" xfId="3" applyNumberFormat="1" applyFont="1" applyFill="1" applyBorder="1" applyAlignment="1" applyProtection="1">
      <alignment horizontal="center" vertical="center" wrapText="1"/>
      <protection locked="0"/>
    </xf>
    <xf numFmtId="168" fontId="35" fillId="32" borderId="13" xfId="3" applyNumberFormat="1" applyFont="1" applyFill="1" applyBorder="1" applyAlignment="1" applyProtection="1">
      <alignment horizontal="center" vertical="center" wrapText="1"/>
      <protection locked="0"/>
    </xf>
    <xf numFmtId="170" fontId="35" fillId="32" borderId="13" xfId="3" applyNumberFormat="1" applyFont="1" applyFill="1" applyBorder="1" applyAlignment="1" applyProtection="1">
      <alignment horizontal="center" vertical="center" wrapText="1"/>
      <protection locked="0"/>
    </xf>
    <xf numFmtId="2" fontId="35" fillId="32" borderId="13" xfId="3" applyNumberFormat="1" applyFont="1" applyFill="1" applyBorder="1" applyAlignment="1" applyProtection="1">
      <alignment horizontal="right" vertical="center" wrapText="1"/>
      <protection locked="0"/>
    </xf>
    <xf numFmtId="43" fontId="37" fillId="32" borderId="13" xfId="10" applyNumberFormat="1" applyFont="1" applyFill="1" applyBorder="1" applyAlignment="1" applyProtection="1">
      <alignment horizontal="right" vertical="center" wrapText="1"/>
      <protection locked="0"/>
    </xf>
    <xf numFmtId="43" fontId="36" fillId="32" borderId="12" xfId="4" applyNumberFormat="1" applyFont="1" applyFill="1" applyBorder="1" applyAlignment="1">
      <alignment horizontal="right" vertical="center" wrapText="1"/>
    </xf>
    <xf numFmtId="43" fontId="36" fillId="32" borderId="12" xfId="4" applyNumberFormat="1" applyFont="1" applyFill="1" applyBorder="1" applyAlignment="1">
      <alignment horizontal="center" vertical="center" wrapText="1"/>
    </xf>
    <xf numFmtId="1" fontId="36" fillId="0" borderId="13" xfId="104" applyNumberFormat="1" applyFont="1" applyFill="1" applyBorder="1" applyAlignment="1">
      <alignment horizontal="center" vertical="center" wrapText="1"/>
    </xf>
    <xf numFmtId="43" fontId="36" fillId="0" borderId="13" xfId="10" applyNumberFormat="1" applyFont="1" applyFill="1" applyBorder="1" applyAlignment="1" applyProtection="1">
      <alignment horizontal="right" vertical="center" wrapText="1"/>
      <protection locked="0"/>
    </xf>
    <xf numFmtId="3" fontId="39" fillId="0" borderId="13" xfId="3" applyNumberFormat="1" applyFont="1" applyFill="1" applyBorder="1" applyAlignment="1" applyProtection="1">
      <alignment horizontal="center" vertical="center" wrapText="1"/>
    </xf>
    <xf numFmtId="43" fontId="3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9" fillId="0" borderId="13" xfId="0" applyFont="1" applyFill="1" applyBorder="1" applyAlignment="1">
      <alignment horizontal="center" vertical="center"/>
    </xf>
    <xf numFmtId="170" fontId="37" fillId="32" borderId="13" xfId="4" applyNumberFormat="1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justify" vertical="center" wrapText="1"/>
    </xf>
    <xf numFmtId="0" fontId="36" fillId="0" borderId="13" xfId="104" applyFont="1" applyFill="1" applyBorder="1" applyAlignment="1">
      <alignment horizontal="justify" vertical="center" wrapText="1"/>
    </xf>
    <xf numFmtId="0" fontId="32" fillId="20" borderId="47" xfId="0" applyFont="1" applyFill="1" applyBorder="1" applyAlignment="1">
      <alignment horizontal="justify"/>
    </xf>
    <xf numFmtId="4" fontId="32" fillId="20" borderId="0" xfId="4" applyNumberFormat="1" applyFont="1" applyFill="1" applyBorder="1" applyAlignment="1">
      <alignment horizontal="justify" vertical="center" wrapText="1"/>
    </xf>
    <xf numFmtId="4" fontId="32" fillId="20" borderId="0" xfId="4" applyNumberFormat="1" applyFont="1" applyFill="1" applyBorder="1" applyAlignment="1">
      <alignment horizontal="justify" vertical="center"/>
    </xf>
    <xf numFmtId="0" fontId="32" fillId="20" borderId="41" xfId="0" applyFont="1" applyFill="1" applyBorder="1" applyAlignment="1">
      <alignment horizontal="justify"/>
    </xf>
    <xf numFmtId="0" fontId="36" fillId="0" borderId="0" xfId="4" applyFont="1" applyFill="1" applyBorder="1" applyAlignment="1">
      <alignment horizontal="justify" vertical="center" wrapText="1"/>
    </xf>
    <xf numFmtId="2" fontId="36" fillId="0" borderId="12" xfId="4" applyNumberFormat="1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0" fontId="36" fillId="20" borderId="0" xfId="104" applyFont="1" applyFill="1" applyBorder="1" applyAlignment="1">
      <alignment horizontal="justify" vertical="center" wrapText="1"/>
    </xf>
    <xf numFmtId="43" fontId="32" fillId="0" borderId="0" xfId="0" applyNumberFormat="1" applyFont="1" applyFill="1" applyAlignment="1">
      <alignment horizontal="justify"/>
    </xf>
    <xf numFmtId="0" fontId="35" fillId="32" borderId="14" xfId="3" applyFont="1" applyFill="1" applyBorder="1" applyAlignment="1" applyProtection="1">
      <alignment horizontal="justify" vertical="center" wrapText="1"/>
      <protection locked="0"/>
    </xf>
    <xf numFmtId="0" fontId="36" fillId="0" borderId="0" xfId="104" applyFont="1" applyFill="1" applyBorder="1" applyAlignment="1">
      <alignment horizontal="justify" vertical="center" wrapText="1"/>
    </xf>
    <xf numFmtId="0" fontId="32" fillId="20" borderId="9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7" fillId="20" borderId="0" xfId="0" applyFont="1" applyFill="1" applyBorder="1" applyAlignment="1">
      <alignment horizontal="left" vertical="center"/>
    </xf>
    <xf numFmtId="165" fontId="37" fillId="19" borderId="0" xfId="2" applyFont="1" applyFill="1" applyBorder="1" applyAlignment="1" applyProtection="1">
      <alignment vertical="top"/>
    </xf>
    <xf numFmtId="167" fontId="37" fillId="21" borderId="0" xfId="2" applyNumberFormat="1" applyFont="1" applyFill="1" applyBorder="1" applyAlignment="1" applyProtection="1">
      <alignment vertical="top" wrapText="1"/>
    </xf>
    <xf numFmtId="165" fontId="37" fillId="21" borderId="0" xfId="2" applyFont="1" applyFill="1" applyBorder="1" applyAlignment="1" applyProtection="1">
      <alignment vertical="top" wrapText="1"/>
    </xf>
    <xf numFmtId="10" fontId="37" fillId="19" borderId="27" xfId="5" applyNumberFormat="1" applyFont="1" applyFill="1" applyBorder="1" applyAlignment="1" applyProtection="1">
      <alignment horizontal="center" vertical="top" wrapText="1"/>
    </xf>
    <xf numFmtId="0" fontId="37" fillId="20" borderId="0" xfId="0" applyFont="1" applyFill="1" applyBorder="1" applyAlignment="1">
      <alignment horizontal="center" vertical="center"/>
    </xf>
    <xf numFmtId="165" fontId="37" fillId="19" borderId="0" xfId="2" applyFont="1" applyFill="1" applyBorder="1" applyAlignment="1" applyProtection="1">
      <alignment horizontal="center" vertical="top"/>
    </xf>
    <xf numFmtId="165" fontId="33" fillId="19" borderId="0" xfId="2" applyFont="1" applyFill="1" applyBorder="1" applyAlignment="1" applyProtection="1">
      <alignment horizontal="center" vertical="top"/>
    </xf>
    <xf numFmtId="167" fontId="37" fillId="21" borderId="0" xfId="2" applyNumberFormat="1" applyFont="1" applyFill="1" applyBorder="1" applyAlignment="1" applyProtection="1">
      <alignment horizontal="center" vertical="top" wrapText="1"/>
    </xf>
    <xf numFmtId="165" fontId="37" fillId="21" borderId="0" xfId="2" applyFont="1" applyFill="1" applyBorder="1" applyAlignment="1" applyProtection="1">
      <alignment horizontal="center" vertical="top" wrapText="1"/>
    </xf>
    <xf numFmtId="0" fontId="37" fillId="0" borderId="13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center" vertical="top" wrapText="1"/>
    </xf>
    <xf numFmtId="167" fontId="37" fillId="0" borderId="13" xfId="6" applyNumberFormat="1" applyFont="1" applyFill="1" applyBorder="1" applyAlignment="1">
      <alignment horizontal="center" vertical="top"/>
    </xf>
    <xf numFmtId="164" fontId="37" fillId="0" borderId="13" xfId="6" applyFont="1" applyFill="1" applyBorder="1" applyAlignment="1">
      <alignment horizontal="center" vertical="top"/>
    </xf>
    <xf numFmtId="164" fontId="37" fillId="0" borderId="13" xfId="6" applyFont="1" applyFill="1" applyBorder="1" applyAlignment="1">
      <alignment horizontal="center" vertical="top" wrapText="1"/>
    </xf>
    <xf numFmtId="0" fontId="37" fillId="20" borderId="14" xfId="0" applyFont="1" applyFill="1" applyBorder="1" applyAlignment="1">
      <alignment horizontal="center" vertical="top"/>
    </xf>
    <xf numFmtId="0" fontId="37" fillId="20" borderId="66" xfId="0" applyFont="1" applyFill="1" applyBorder="1" applyAlignment="1">
      <alignment horizontal="center" vertical="top"/>
    </xf>
    <xf numFmtId="165" fontId="35" fillId="20" borderId="66" xfId="2" applyFont="1" applyFill="1" applyBorder="1" applyAlignment="1" applyProtection="1">
      <alignment horizontal="center" vertical="top"/>
    </xf>
    <xf numFmtId="165" fontId="35" fillId="20" borderId="66" xfId="2" applyFont="1" applyFill="1" applyBorder="1" applyAlignment="1" applyProtection="1">
      <alignment horizontal="left" vertical="top"/>
    </xf>
    <xf numFmtId="167" fontId="37" fillId="20" borderId="66" xfId="6" applyNumberFormat="1" applyFont="1" applyFill="1" applyBorder="1" applyAlignment="1">
      <alignment horizontal="center" vertical="top"/>
    </xf>
    <xf numFmtId="164" fontId="37" fillId="20" borderId="66" xfId="6" applyFont="1" applyFill="1" applyBorder="1" applyAlignment="1">
      <alignment horizontal="center" vertical="top"/>
    </xf>
    <xf numFmtId="164" fontId="37" fillId="20" borderId="16" xfId="6" applyFont="1" applyFill="1" applyBorder="1" applyAlignment="1">
      <alignment horizontal="center" vertical="top"/>
    </xf>
    <xf numFmtId="165" fontId="36" fillId="0" borderId="26" xfId="2" applyFont="1" applyFill="1" applyBorder="1" applyAlignment="1" applyProtection="1">
      <alignment horizontal="center" vertical="top"/>
    </xf>
    <xf numFmtId="165" fontId="36" fillId="0" borderId="0" xfId="2" applyFont="1" applyFill="1" applyBorder="1" applyAlignment="1" applyProtection="1">
      <alignment horizontal="center" vertical="top"/>
    </xf>
    <xf numFmtId="165" fontId="36" fillId="0" borderId="0" xfId="2" applyFont="1" applyFill="1" applyBorder="1" applyAlignment="1" applyProtection="1">
      <alignment horizontal="center" vertical="top" wrapText="1"/>
    </xf>
    <xf numFmtId="165" fontId="36" fillId="0" borderId="0" xfId="2" applyFont="1" applyFill="1" applyBorder="1" applyAlignment="1" applyProtection="1">
      <alignment horizontal="left" vertical="top" wrapText="1"/>
    </xf>
    <xf numFmtId="167" fontId="32" fillId="0" borderId="0" xfId="1" applyNumberFormat="1" applyFont="1" applyFill="1" applyBorder="1" applyAlignment="1" applyProtection="1">
      <alignment vertical="top"/>
    </xf>
    <xf numFmtId="43" fontId="36" fillId="0" borderId="0" xfId="2" applyNumberFormat="1" applyFont="1" applyFill="1" applyBorder="1" applyAlignment="1" applyProtection="1">
      <alignment horizontal="right" vertical="top"/>
    </xf>
    <xf numFmtId="43" fontId="32" fillId="0" borderId="27" xfId="6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28" xfId="0" applyFont="1" applyFill="1" applyBorder="1" applyAlignment="1">
      <alignment vertical="top"/>
    </xf>
    <xf numFmtId="0" fontId="32" fillId="0" borderId="29" xfId="0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left" vertical="top"/>
    </xf>
    <xf numFmtId="0" fontId="37" fillId="0" borderId="29" xfId="0" applyFont="1" applyFill="1" applyBorder="1" applyAlignment="1">
      <alignment horizontal="center" vertical="top"/>
    </xf>
    <xf numFmtId="167" fontId="37" fillId="0" borderId="29" xfId="6" applyNumberFormat="1" applyFont="1" applyFill="1" applyBorder="1" applyAlignment="1">
      <alignment vertical="top"/>
    </xf>
    <xf numFmtId="43" fontId="37" fillId="0" borderId="29" xfId="6" applyNumberFormat="1" applyFont="1" applyFill="1" applyBorder="1" applyAlignment="1">
      <alignment vertical="top"/>
    </xf>
    <xf numFmtId="164" fontId="32" fillId="0" borderId="0" xfId="0" applyNumberFormat="1" applyFont="1" applyFill="1" applyBorder="1" applyAlignment="1">
      <alignment vertical="top"/>
    </xf>
    <xf numFmtId="169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43" fontId="37" fillId="0" borderId="30" xfId="6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37" fillId="20" borderId="66" xfId="0" applyFont="1" applyFill="1" applyBorder="1" applyAlignment="1">
      <alignment horizontal="center"/>
    </xf>
    <xf numFmtId="0" fontId="37" fillId="20" borderId="66" xfId="0" applyFont="1" applyFill="1" applyBorder="1" applyAlignment="1"/>
    <xf numFmtId="167" fontId="37" fillId="20" borderId="66" xfId="0" applyNumberFormat="1" applyFont="1" applyFill="1" applyBorder="1" applyAlignment="1"/>
    <xf numFmtId="43" fontId="37" fillId="20" borderId="66" xfId="0" applyNumberFormat="1" applyFont="1" applyFill="1" applyBorder="1" applyAlignment="1"/>
    <xf numFmtId="43" fontId="37" fillId="20" borderId="16" xfId="0" applyNumberFormat="1" applyFont="1" applyFill="1" applyBorder="1" applyAlignment="1"/>
    <xf numFmtId="0" fontId="32" fillId="0" borderId="28" xfId="0" applyFont="1" applyFill="1" applyBorder="1" applyAlignment="1">
      <alignment horizontal="center" vertical="top"/>
    </xf>
    <xf numFmtId="43" fontId="36" fillId="0" borderId="29" xfId="1" applyNumberFormat="1" applyFont="1" applyFill="1" applyBorder="1" applyAlignment="1" applyProtection="1">
      <alignment vertical="top"/>
    </xf>
    <xf numFmtId="0" fontId="32" fillId="0" borderId="26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top"/>
    </xf>
    <xf numFmtId="167" fontId="37" fillId="0" borderId="0" xfId="6" applyNumberFormat="1" applyFont="1" applyFill="1" applyBorder="1" applyAlignment="1">
      <alignment vertical="top"/>
    </xf>
    <xf numFmtId="43" fontId="37" fillId="0" borderId="0" xfId="6" applyNumberFormat="1" applyFont="1" applyFill="1" applyBorder="1" applyAlignment="1">
      <alignment vertical="top"/>
    </xf>
    <xf numFmtId="43" fontId="36" fillId="0" borderId="0" xfId="1" applyNumberFormat="1" applyFont="1" applyFill="1" applyBorder="1" applyAlignment="1" applyProtection="1">
      <alignment vertical="top"/>
    </xf>
    <xf numFmtId="43" fontId="37" fillId="0" borderId="27" xfId="6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0" fontId="37" fillId="20" borderId="26" xfId="0" applyFont="1" applyFill="1" applyBorder="1" applyAlignment="1">
      <alignment vertical="top"/>
    </xf>
    <xf numFmtId="0" fontId="37" fillId="20" borderId="0" xfId="0" applyFont="1" applyFill="1" applyBorder="1" applyAlignment="1">
      <alignment vertical="top"/>
    </xf>
    <xf numFmtId="0" fontId="37" fillId="31" borderId="0" xfId="98" applyFont="1" applyFill="1" applyBorder="1" applyAlignment="1">
      <alignment vertical="top" wrapText="1"/>
    </xf>
    <xf numFmtId="2" fontId="32" fillId="31" borderId="0" xfId="98" applyNumberFormat="1" applyFont="1" applyFill="1" applyBorder="1" applyAlignment="1">
      <alignment vertical="top"/>
    </xf>
    <xf numFmtId="4" fontId="37" fillId="31" borderId="12" xfId="98" applyNumberFormat="1" applyFont="1" applyFill="1" applyBorder="1" applyAlignment="1">
      <alignment horizontal="right" vertical="top"/>
    </xf>
    <xf numFmtId="10" fontId="41" fillId="31" borderId="0" xfId="5" applyNumberFormat="1" applyFont="1" applyFill="1" applyBorder="1" applyAlignment="1">
      <alignment vertical="top" wrapText="1"/>
    </xf>
    <xf numFmtId="10" fontId="42" fillId="31" borderId="0" xfId="98" applyNumberFormat="1" applyFont="1" applyFill="1" applyBorder="1" applyAlignment="1">
      <alignment horizontal="center" vertical="top"/>
    </xf>
    <xf numFmtId="4" fontId="37" fillId="31" borderId="13" xfId="98" applyNumberFormat="1" applyFont="1" applyFill="1" applyBorder="1" applyAlignment="1">
      <alignment horizontal="right" vertical="top"/>
    </xf>
    <xf numFmtId="0" fontId="32" fillId="20" borderId="28" xfId="0" applyFont="1" applyFill="1" applyBorder="1" applyAlignment="1">
      <alignment vertical="top"/>
    </xf>
    <xf numFmtId="0" fontId="32" fillId="20" borderId="29" xfId="0" applyFont="1" applyFill="1" applyBorder="1" applyAlignment="1">
      <alignment vertical="top"/>
    </xf>
    <xf numFmtId="0" fontId="37" fillId="31" borderId="29" xfId="98" applyFont="1" applyFill="1" applyBorder="1" applyAlignment="1">
      <alignment vertical="top" wrapText="1"/>
    </xf>
    <xf numFmtId="2" fontId="32" fillId="31" borderId="29" xfId="98" applyNumberFormat="1" applyFont="1" applyFill="1" applyBorder="1" applyAlignment="1">
      <alignment vertical="top"/>
    </xf>
    <xf numFmtId="4" fontId="40" fillId="31" borderId="13" xfId="98" applyNumberFormat="1" applyFont="1" applyFill="1" applyBorder="1" applyAlignment="1">
      <alignment horizontal="right" vertical="top"/>
    </xf>
    <xf numFmtId="167" fontId="32" fillId="0" borderId="0" xfId="6" applyNumberFormat="1" applyFont="1" applyFill="1" applyBorder="1" applyAlignment="1">
      <alignment horizontal="center" vertical="top"/>
    </xf>
    <xf numFmtId="164" fontId="32" fillId="0" borderId="0" xfId="6" applyFont="1" applyFill="1" applyBorder="1" applyAlignment="1">
      <alignment horizontal="center" vertical="top"/>
    </xf>
    <xf numFmtId="0" fontId="31" fillId="20" borderId="40" xfId="0" applyFont="1" applyFill="1" applyBorder="1"/>
    <xf numFmtId="0" fontId="31" fillId="20" borderId="41" xfId="0" applyFont="1" applyFill="1" applyBorder="1"/>
    <xf numFmtId="0" fontId="31" fillId="0" borderId="0" xfId="0" applyFont="1"/>
    <xf numFmtId="4" fontId="31" fillId="18" borderId="23" xfId="0" applyNumberFormat="1" applyFont="1" applyFill="1" applyBorder="1" applyAlignment="1">
      <alignment vertical="center" wrapText="1"/>
    </xf>
    <xf numFmtId="4" fontId="31" fillId="18" borderId="0" xfId="0" applyNumberFormat="1" applyFont="1" applyFill="1" applyBorder="1" applyAlignment="1">
      <alignment vertical="center" wrapText="1"/>
    </xf>
    <xf numFmtId="4" fontId="31" fillId="18" borderId="24" xfId="0" applyNumberFormat="1" applyFont="1" applyFill="1" applyBorder="1" applyAlignment="1">
      <alignment vertical="center" wrapText="1"/>
    </xf>
    <xf numFmtId="0" fontId="40" fillId="20" borderId="0" xfId="0" applyFont="1" applyFill="1" applyBorder="1" applyAlignment="1"/>
    <xf numFmtId="0" fontId="40" fillId="20" borderId="24" xfId="0" applyFont="1" applyFill="1" applyBorder="1" applyAlignment="1"/>
    <xf numFmtId="0" fontId="31" fillId="20" borderId="42" xfId="0" applyFont="1" applyFill="1" applyBorder="1"/>
    <xf numFmtId="0" fontId="40" fillId="20" borderId="12" xfId="0" applyFont="1" applyFill="1" applyBorder="1" applyAlignment="1">
      <alignment horizontal="center"/>
    </xf>
    <xf numFmtId="164" fontId="40" fillId="20" borderId="12" xfId="6" applyFont="1" applyFill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6" xfId="0" applyFont="1" applyBorder="1" applyAlignment="1">
      <alignment horizontal="left"/>
    </xf>
    <xf numFmtId="164" fontId="40" fillId="0" borderId="56" xfId="6" applyFont="1" applyBorder="1" applyAlignment="1">
      <alignment horizontal="center"/>
    </xf>
    <xf numFmtId="164" fontId="40" fillId="0" borderId="57" xfId="6" applyFont="1" applyBorder="1" applyAlignment="1">
      <alignment horizontal="center"/>
    </xf>
    <xf numFmtId="164" fontId="40" fillId="0" borderId="58" xfId="6" applyFont="1" applyBorder="1" applyAlignment="1">
      <alignment horizontal="center"/>
    </xf>
    <xf numFmtId="0" fontId="40" fillId="0" borderId="31" xfId="0" applyFont="1" applyBorder="1" applyAlignment="1">
      <alignment horizontal="center" vertical="top"/>
    </xf>
    <xf numFmtId="0" fontId="40" fillId="0" borderId="32" xfId="0" applyFont="1" applyBorder="1" applyAlignment="1">
      <alignment horizontal="left" vertical="top"/>
    </xf>
    <xf numFmtId="10" fontId="31" fillId="0" borderId="32" xfId="5" applyNumberFormat="1" applyFont="1" applyBorder="1" applyAlignment="1">
      <alignment horizontal="center" vertical="top"/>
    </xf>
    <xf numFmtId="43" fontId="31" fillId="0" borderId="32" xfId="6" applyNumberFormat="1" applyFont="1" applyBorder="1" applyAlignment="1">
      <alignment vertical="top"/>
    </xf>
    <xf numFmtId="43" fontId="40" fillId="0" borderId="33" xfId="6" applyNumberFormat="1" applyFont="1" applyBorder="1" applyAlignment="1">
      <alignment vertical="top"/>
    </xf>
    <xf numFmtId="43" fontId="31" fillId="0" borderId="33" xfId="6" applyNumberFormat="1" applyFont="1" applyBorder="1" applyAlignment="1">
      <alignment vertical="top"/>
    </xf>
    <xf numFmtId="0" fontId="40" fillId="0" borderId="34" xfId="0" applyFont="1" applyBorder="1" applyAlignment="1">
      <alignment horizontal="center" vertical="top"/>
    </xf>
    <xf numFmtId="0" fontId="40" fillId="0" borderId="35" xfId="0" applyFont="1" applyBorder="1" applyAlignment="1">
      <alignment horizontal="left" vertical="top"/>
    </xf>
    <xf numFmtId="164" fontId="31" fillId="0" borderId="35" xfId="6" applyFont="1" applyBorder="1" applyAlignment="1">
      <alignment horizontal="center" vertical="top"/>
    </xf>
    <xf numFmtId="164" fontId="40" fillId="0" borderId="36" xfId="6" applyFont="1" applyBorder="1" applyAlignment="1">
      <alignment vertical="top"/>
    </xf>
    <xf numFmtId="0" fontId="40" fillId="0" borderId="37" xfId="0" applyFont="1" applyBorder="1" applyAlignment="1">
      <alignment horizontal="center" vertical="top"/>
    </xf>
    <xf numFmtId="0" fontId="40" fillId="0" borderId="38" xfId="0" applyFont="1" applyBorder="1" applyAlignment="1">
      <alignment vertical="top"/>
    </xf>
    <xf numFmtId="164" fontId="31" fillId="0" borderId="38" xfId="6" applyFont="1" applyBorder="1" applyAlignment="1">
      <alignment horizontal="center" vertical="top"/>
    </xf>
    <xf numFmtId="10" fontId="31" fillId="0" borderId="38" xfId="6" applyNumberFormat="1" applyFont="1" applyBorder="1" applyAlignment="1">
      <alignment horizontal="center" vertical="top"/>
    </xf>
    <xf numFmtId="164" fontId="40" fillId="0" borderId="39" xfId="6" applyFont="1" applyBorder="1" applyAlignment="1">
      <alignment vertical="top"/>
    </xf>
    <xf numFmtId="10" fontId="31" fillId="0" borderId="0" xfId="0" applyNumberFormat="1" applyFont="1"/>
    <xf numFmtId="0" fontId="40" fillId="0" borderId="59" xfId="0" applyFont="1" applyBorder="1" applyAlignment="1">
      <alignment horizontal="center" vertical="top"/>
    </xf>
    <xf numFmtId="0" fontId="40" fillId="0" borderId="60" xfId="0" applyFont="1" applyBorder="1" applyAlignment="1">
      <alignment vertical="top"/>
    </xf>
    <xf numFmtId="164" fontId="31" fillId="0" borderId="60" xfId="6" applyFont="1" applyBorder="1" applyAlignment="1">
      <alignment horizontal="center" vertical="top"/>
    </xf>
    <xf numFmtId="164" fontId="40" fillId="0" borderId="61" xfId="6" applyFont="1" applyBorder="1" applyAlignment="1">
      <alignment vertical="top"/>
    </xf>
    <xf numFmtId="0" fontId="40" fillId="0" borderId="69" xfId="0" applyFont="1" applyBorder="1" applyAlignment="1">
      <alignment horizontal="center" vertical="top"/>
    </xf>
    <xf numFmtId="0" fontId="40" fillId="0" borderId="70" xfId="0" applyFont="1" applyBorder="1" applyAlignment="1">
      <alignment vertical="top"/>
    </xf>
    <xf numFmtId="164" fontId="31" fillId="0" borderId="70" xfId="6" applyFont="1" applyBorder="1" applyAlignment="1">
      <alignment horizontal="center" vertical="top"/>
    </xf>
    <xf numFmtId="164" fontId="40" fillId="0" borderId="71" xfId="6" applyFont="1" applyBorder="1" applyAlignment="1">
      <alignment vertical="top"/>
    </xf>
    <xf numFmtId="0" fontId="40" fillId="0" borderId="62" xfId="0" applyFont="1" applyBorder="1" applyAlignment="1">
      <alignment horizontal="center" vertical="top"/>
    </xf>
    <xf numFmtId="0" fontId="31" fillId="0" borderId="63" xfId="0" applyFont="1" applyBorder="1" applyAlignment="1">
      <alignment vertical="top"/>
    </xf>
    <xf numFmtId="164" fontId="31" fillId="0" borderId="63" xfId="6" applyFont="1" applyBorder="1" applyAlignment="1">
      <alignment vertical="top"/>
    </xf>
    <xf numFmtId="9" fontId="31" fillId="0" borderId="63" xfId="6" applyNumberFormat="1" applyFont="1" applyBorder="1" applyAlignment="1">
      <alignment horizontal="center" vertical="top"/>
    </xf>
    <xf numFmtId="9" fontId="31" fillId="0" borderId="64" xfId="6" applyNumberFormat="1" applyFont="1" applyBorder="1" applyAlignment="1">
      <alignment horizontal="center" vertical="top"/>
    </xf>
    <xf numFmtId="164" fontId="40" fillId="0" borderId="65" xfId="6" applyFont="1" applyBorder="1" applyAlignment="1">
      <alignment vertical="top"/>
    </xf>
    <xf numFmtId="0" fontId="31" fillId="0" borderId="9" xfId="0" applyFont="1" applyBorder="1" applyAlignment="1">
      <alignment vertical="top"/>
    </xf>
    <xf numFmtId="0" fontId="40" fillId="18" borderId="10" xfId="0" applyFont="1" applyFill="1" applyBorder="1" applyAlignment="1">
      <alignment vertical="top"/>
    </xf>
    <xf numFmtId="9" fontId="31" fillId="0" borderId="32" xfId="5" applyFont="1" applyBorder="1" applyAlignment="1">
      <alignment horizontal="center" vertical="top"/>
    </xf>
    <xf numFmtId="43" fontId="31" fillId="0" borderId="32" xfId="5" applyNumberFormat="1" applyFont="1" applyBorder="1" applyAlignment="1">
      <alignment horizontal="center" vertical="top"/>
    </xf>
    <xf numFmtId="43" fontId="40" fillId="0" borderId="13" xfId="6" applyNumberFormat="1" applyFont="1" applyBorder="1" applyAlignment="1">
      <alignment vertical="top"/>
    </xf>
    <xf numFmtId="0" fontId="31" fillId="0" borderId="68" xfId="0" applyFont="1" applyBorder="1" applyAlignment="1">
      <alignment vertical="top"/>
    </xf>
    <xf numFmtId="0" fontId="40" fillId="18" borderId="67" xfId="0" applyFont="1" applyFill="1" applyBorder="1" applyAlignment="1">
      <alignment horizontal="left" vertical="top"/>
    </xf>
    <xf numFmtId="0" fontId="40" fillId="18" borderId="67" xfId="0" applyFont="1" applyFill="1" applyBorder="1" applyAlignment="1">
      <alignment horizontal="right" vertical="top"/>
    </xf>
    <xf numFmtId="0" fontId="40" fillId="18" borderId="31" xfId="0" applyFont="1" applyFill="1" applyBorder="1" applyAlignment="1">
      <alignment horizontal="left" vertical="top"/>
    </xf>
    <xf numFmtId="0" fontId="40" fillId="20" borderId="48" xfId="0" applyFont="1" applyFill="1" applyBorder="1" applyAlignment="1">
      <alignment horizontal="left" vertical="top"/>
    </xf>
    <xf numFmtId="0" fontId="40" fillId="20" borderId="49" xfId="0" applyFont="1" applyFill="1" applyBorder="1" applyAlignment="1">
      <alignment horizontal="left" vertical="top"/>
    </xf>
    <xf numFmtId="43" fontId="40" fillId="0" borderId="13" xfId="0" applyNumberFormat="1" applyFont="1" applyBorder="1"/>
    <xf numFmtId="43" fontId="31" fillId="0" borderId="0" xfId="0" applyNumberFormat="1" applyFont="1"/>
    <xf numFmtId="43" fontId="31" fillId="0" borderId="35" xfId="6" applyNumberFormat="1" applyFont="1" applyBorder="1" applyAlignment="1">
      <alignment vertical="top"/>
    </xf>
    <xf numFmtId="43" fontId="31" fillId="0" borderId="54" xfId="6" applyNumberFormat="1" applyFont="1" applyBorder="1" applyAlignment="1">
      <alignment vertical="top"/>
    </xf>
    <xf numFmtId="10" fontId="31" fillId="0" borderId="35" xfId="5" applyNumberFormat="1" applyFont="1" applyBorder="1" applyAlignment="1">
      <alignment horizontal="center" vertical="top"/>
    </xf>
    <xf numFmtId="43" fontId="31" fillId="0" borderId="39" xfId="0" applyNumberFormat="1" applyFont="1" applyBorder="1" applyAlignment="1">
      <alignment vertical="top"/>
    </xf>
    <xf numFmtId="171" fontId="32" fillId="0" borderId="0" xfId="0" applyNumberFormat="1" applyFont="1" applyFill="1"/>
    <xf numFmtId="0" fontId="36" fillId="0" borderId="13" xfId="104" applyFont="1" applyFill="1" applyBorder="1" applyAlignment="1">
      <alignment horizontal="left" vertical="center" wrapText="1"/>
    </xf>
    <xf numFmtId="172" fontId="36" fillId="0" borderId="13" xfId="104" applyNumberFormat="1" applyFont="1" applyFill="1" applyBorder="1" applyAlignment="1">
      <alignment horizontal="center" vertical="center" wrapText="1"/>
    </xf>
    <xf numFmtId="43" fontId="36" fillId="0" borderId="12" xfId="104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10" fontId="31" fillId="0" borderId="70" xfId="6" applyNumberFormat="1" applyFont="1" applyBorder="1" applyAlignment="1">
      <alignment horizontal="center" vertical="top"/>
    </xf>
    <xf numFmtId="0" fontId="31" fillId="20" borderId="47" xfId="0" applyFont="1" applyFill="1" applyBorder="1"/>
    <xf numFmtId="0" fontId="31" fillId="20" borderId="46" xfId="0" applyFont="1" applyFill="1" applyBorder="1"/>
    <xf numFmtId="2" fontId="32" fillId="0" borderId="0" xfId="0" applyNumberFormat="1" applyFont="1" applyFill="1"/>
    <xf numFmtId="0" fontId="37" fillId="0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vertical="top"/>
    </xf>
    <xf numFmtId="0" fontId="32" fillId="33" borderId="66" xfId="0" applyFont="1" applyFill="1" applyBorder="1" applyAlignment="1">
      <alignment horizontal="center" vertical="top"/>
    </xf>
    <xf numFmtId="0" fontId="37" fillId="33" borderId="66" xfId="0" applyFont="1" applyFill="1" applyBorder="1" applyAlignment="1">
      <alignment horizontal="left" vertical="top"/>
    </xf>
    <xf numFmtId="0" fontId="37" fillId="33" borderId="66" xfId="0" applyFont="1" applyFill="1" applyBorder="1" applyAlignment="1">
      <alignment horizontal="center" vertical="top"/>
    </xf>
    <xf numFmtId="167" fontId="37" fillId="33" borderId="66" xfId="6" applyNumberFormat="1" applyFont="1" applyFill="1" applyBorder="1" applyAlignment="1">
      <alignment vertical="top"/>
    </xf>
    <xf numFmtId="43" fontId="37" fillId="33" borderId="66" xfId="6" applyNumberFormat="1" applyFont="1" applyFill="1" applyBorder="1" applyAlignment="1">
      <alignment vertical="top"/>
    </xf>
    <xf numFmtId="43" fontId="36" fillId="33" borderId="66" xfId="1" applyNumberFormat="1" applyFont="1" applyFill="1" applyBorder="1" applyAlignment="1" applyProtection="1">
      <alignment vertical="top"/>
    </xf>
    <xf numFmtId="43" fontId="37" fillId="33" borderId="16" xfId="6" applyNumberFormat="1" applyFont="1" applyFill="1" applyBorder="1" applyAlignment="1">
      <alignment vertical="top" wrapText="1"/>
    </xf>
    <xf numFmtId="165" fontId="36" fillId="0" borderId="0" xfId="2" applyFont="1" applyFill="1" applyBorder="1" applyAlignment="1" applyProtection="1">
      <alignment horizontal="justify" vertical="top" wrapText="1"/>
    </xf>
    <xf numFmtId="0" fontId="36" fillId="0" borderId="14" xfId="4" applyFont="1" applyFill="1" applyBorder="1" applyAlignment="1">
      <alignment horizontal="center" vertical="center" wrapText="1"/>
    </xf>
    <xf numFmtId="2" fontId="37" fillId="32" borderId="13" xfId="4" applyNumberFormat="1" applyFont="1" applyFill="1" applyBorder="1" applyAlignment="1">
      <alignment horizontal="center" vertical="center" wrapText="1"/>
    </xf>
    <xf numFmtId="2" fontId="37" fillId="32" borderId="13" xfId="6" applyNumberFormat="1" applyFont="1" applyFill="1" applyBorder="1" applyAlignment="1">
      <alignment horizontal="center" vertical="center" wrapText="1"/>
    </xf>
    <xf numFmtId="4" fontId="31" fillId="20" borderId="0" xfId="0" applyNumberFormat="1" applyFont="1" applyFill="1" applyBorder="1" applyAlignment="1">
      <alignment vertical="center"/>
    </xf>
    <xf numFmtId="4" fontId="31" fillId="20" borderId="24" xfId="0" applyNumberFormat="1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4" fontId="32" fillId="20" borderId="45" xfId="4" applyNumberFormat="1" applyFont="1" applyFill="1" applyBorder="1" applyAlignment="1">
      <alignment vertical="center"/>
    </xf>
    <xf numFmtId="4" fontId="32" fillId="20" borderId="47" xfId="4" applyNumberFormat="1" applyFont="1" applyFill="1" applyBorder="1" applyAlignment="1">
      <alignment vertical="center"/>
    </xf>
    <xf numFmtId="0" fontId="43" fillId="0" borderId="0" xfId="0" applyFont="1" applyProtection="1"/>
    <xf numFmtId="0" fontId="43" fillId="20" borderId="73" xfId="0" applyFont="1" applyFill="1" applyBorder="1" applyProtection="1"/>
    <xf numFmtId="0" fontId="43" fillId="20" borderId="74" xfId="0" applyFont="1" applyFill="1" applyBorder="1" applyProtection="1"/>
    <xf numFmtId="0" fontId="43" fillId="20" borderId="75" xfId="0" applyFont="1" applyFill="1" applyBorder="1" applyProtection="1"/>
    <xf numFmtId="0" fontId="43" fillId="20" borderId="76" xfId="0" applyFont="1" applyFill="1" applyBorder="1" applyProtection="1"/>
    <xf numFmtId="0" fontId="43" fillId="20" borderId="78" xfId="0" applyFont="1" applyFill="1" applyBorder="1" applyProtection="1"/>
    <xf numFmtId="0" fontId="43" fillId="20" borderId="23" xfId="0" applyFont="1" applyFill="1" applyBorder="1" applyProtection="1"/>
    <xf numFmtId="0" fontId="46" fillId="20" borderId="0" xfId="0" applyFont="1" applyFill="1" applyBorder="1" applyAlignment="1" applyProtection="1">
      <alignment horizontal="center" vertical="center"/>
    </xf>
    <xf numFmtId="0" fontId="43" fillId="20" borderId="24" xfId="0" applyFont="1" applyFill="1" applyBorder="1" applyProtection="1"/>
    <xf numFmtId="0" fontId="43" fillId="0" borderId="0" xfId="0" applyFont="1" applyBorder="1" applyProtection="1"/>
    <xf numFmtId="0" fontId="43" fillId="20" borderId="45" xfId="0" applyFont="1" applyFill="1" applyBorder="1" applyProtection="1"/>
    <xf numFmtId="0" fontId="43" fillId="20" borderId="46" xfId="0" applyFont="1" applyFill="1" applyBorder="1" applyProtection="1"/>
    <xf numFmtId="0" fontId="45" fillId="20" borderId="0" xfId="0" applyFont="1" applyFill="1" applyBorder="1" applyAlignment="1" applyProtection="1">
      <alignment vertical="center"/>
    </xf>
    <xf numFmtId="0" fontId="47" fillId="20" borderId="0" xfId="0" applyFont="1" applyFill="1" applyBorder="1" applyAlignment="1" applyProtection="1">
      <alignment vertical="center"/>
    </xf>
    <xf numFmtId="0" fontId="43" fillId="20" borderId="0" xfId="0" applyFont="1" applyFill="1" applyBorder="1" applyProtection="1"/>
    <xf numFmtId="0" fontId="45" fillId="34" borderId="13" xfId="0" applyFont="1" applyFill="1" applyBorder="1" applyAlignment="1" applyProtection="1">
      <alignment horizontal="center"/>
      <protection locked="0"/>
    </xf>
    <xf numFmtId="0" fontId="49" fillId="0" borderId="0" xfId="0" applyFont="1" applyProtection="1"/>
    <xf numFmtId="0" fontId="50" fillId="20" borderId="0" xfId="0" applyFont="1" applyFill="1" applyBorder="1" applyAlignment="1" applyProtection="1">
      <alignment vertical="center"/>
    </xf>
    <xf numFmtId="0" fontId="43" fillId="20" borderId="0" xfId="0" applyFont="1" applyFill="1" applyBorder="1" applyAlignment="1" applyProtection="1">
      <alignment vertical="center"/>
    </xf>
    <xf numFmtId="0" fontId="43" fillId="20" borderId="0" xfId="0" applyFont="1" applyFill="1" applyBorder="1" applyAlignment="1" applyProtection="1">
      <alignment horizontal="center" vertical="center"/>
    </xf>
    <xf numFmtId="0" fontId="51" fillId="0" borderId="0" xfId="0" applyFont="1" applyProtection="1"/>
    <xf numFmtId="10" fontId="48" fillId="20" borderId="13" xfId="5" applyNumberFormat="1" applyFont="1" applyFill="1" applyBorder="1" applyAlignment="1" applyProtection="1">
      <alignment horizontal="center" vertical="center" wrapText="1"/>
      <protection locked="0"/>
    </xf>
    <xf numFmtId="0" fontId="45" fillId="20" borderId="0" xfId="0" quotePrefix="1" applyFont="1" applyFill="1" applyBorder="1" applyAlignment="1" applyProtection="1">
      <alignment vertical="center"/>
    </xf>
    <xf numFmtId="10" fontId="45" fillId="20" borderId="0" xfId="0" applyNumberFormat="1" applyFont="1" applyFill="1" applyBorder="1" applyAlignment="1" applyProtection="1">
      <alignment horizontal="center" vertical="center"/>
    </xf>
    <xf numFmtId="10" fontId="48" fillId="20" borderId="0" xfId="5" applyNumberFormat="1" applyFont="1" applyFill="1" applyBorder="1" applyAlignment="1" applyProtection="1">
      <alignment vertical="center" wrapText="1"/>
    </xf>
    <xf numFmtId="10" fontId="45" fillId="20" borderId="0" xfId="5" applyNumberFormat="1" applyFont="1" applyFill="1" applyBorder="1" applyAlignment="1" applyProtection="1">
      <alignment vertical="center" wrapText="1"/>
    </xf>
    <xf numFmtId="174" fontId="52" fillId="20" borderId="0" xfId="0" applyNumberFormat="1" applyFont="1" applyFill="1" applyBorder="1" applyProtection="1"/>
    <xf numFmtId="10" fontId="43" fillId="0" borderId="0" xfId="5" applyNumberFormat="1" applyFont="1" applyProtection="1"/>
    <xf numFmtId="0" fontId="43" fillId="20" borderId="40" xfId="0" applyFont="1" applyFill="1" applyBorder="1" applyProtection="1"/>
    <xf numFmtId="0" fontId="43" fillId="20" borderId="42" xfId="0" applyFont="1" applyFill="1" applyBorder="1" applyProtection="1"/>
    <xf numFmtId="0" fontId="43" fillId="20" borderId="47" xfId="0" applyFont="1" applyFill="1" applyBorder="1" applyProtection="1"/>
    <xf numFmtId="0" fontId="45" fillId="20" borderId="0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/>
    </xf>
    <xf numFmtId="0" fontId="43" fillId="20" borderId="0" xfId="0" applyFont="1" applyFill="1" applyBorder="1" applyAlignment="1" applyProtection="1">
      <alignment horizontal="left" vertical="center" wrapText="1"/>
    </xf>
    <xf numFmtId="10" fontId="43" fillId="20" borderId="0" xfId="5" applyNumberFormat="1" applyFont="1" applyFill="1" applyBorder="1" applyAlignment="1" applyProtection="1">
      <alignment horizontal="center" vertical="center" wrapText="1"/>
    </xf>
    <xf numFmtId="10" fontId="49" fillId="20" borderId="82" xfId="5" applyNumberFormat="1" applyFont="1" applyFill="1" applyBorder="1" applyAlignment="1" applyProtection="1">
      <alignment horizontal="center" vertical="center" wrapText="1"/>
      <protection locked="0"/>
    </xf>
    <xf numFmtId="10" fontId="43" fillId="20" borderId="24" xfId="0" applyNumberFormat="1" applyFont="1" applyFill="1" applyBorder="1" applyProtection="1"/>
    <xf numFmtId="10" fontId="43" fillId="0" borderId="0" xfId="0" applyNumberFormat="1" applyFont="1" applyBorder="1" applyProtection="1"/>
    <xf numFmtId="10" fontId="43" fillId="0" borderId="0" xfId="0" applyNumberFormat="1" applyFont="1" applyProtection="1"/>
    <xf numFmtId="10" fontId="49" fillId="20" borderId="17" xfId="5" applyNumberFormat="1" applyFont="1" applyFill="1" applyBorder="1" applyAlignment="1" applyProtection="1">
      <alignment horizontal="center" vertical="center" wrapText="1"/>
      <protection locked="0"/>
    </xf>
    <xf numFmtId="10" fontId="49" fillId="20" borderId="12" xfId="5" applyNumberFormat="1" applyFont="1" applyFill="1" applyBorder="1" applyAlignment="1" applyProtection="1">
      <alignment horizontal="center" vertical="center" wrapText="1"/>
      <protection locked="0"/>
    </xf>
    <xf numFmtId="0" fontId="45" fillId="20" borderId="0" xfId="0" applyFont="1" applyFill="1" applyBorder="1" applyAlignment="1" applyProtection="1">
      <alignment horizontal="left" vertical="center" wrapText="1"/>
    </xf>
    <xf numFmtId="174" fontId="45" fillId="20" borderId="0" xfId="5" applyNumberFormat="1" applyFont="1" applyFill="1" applyBorder="1" applyAlignment="1" applyProtection="1">
      <alignment horizontal="center" vertical="center" wrapText="1"/>
    </xf>
    <xf numFmtId="174" fontId="43" fillId="0" borderId="0" xfId="0" applyNumberFormat="1" applyFont="1" applyProtection="1"/>
    <xf numFmtId="0" fontId="53" fillId="20" borderId="0" xfId="0" applyFont="1" applyFill="1" applyBorder="1" applyProtection="1"/>
    <xf numFmtId="0" fontId="45" fillId="0" borderId="0" xfId="0" applyFont="1" applyProtection="1"/>
    <xf numFmtId="0" fontId="55" fillId="20" borderId="0" xfId="0" applyFont="1" applyFill="1" applyBorder="1" applyAlignment="1" applyProtection="1">
      <alignment horizontal="center"/>
    </xf>
    <xf numFmtId="0" fontId="56" fillId="20" borderId="0" xfId="0" applyFont="1" applyFill="1" applyBorder="1" applyAlignment="1" applyProtection="1">
      <alignment horizontal="center" vertical="center" wrapText="1"/>
    </xf>
    <xf numFmtId="0" fontId="56" fillId="20" borderId="0" xfId="0" applyFont="1" applyFill="1" applyBorder="1" applyAlignment="1" applyProtection="1">
      <alignment horizontal="left" vertical="center" wrapText="1"/>
    </xf>
    <xf numFmtId="10" fontId="57" fillId="20" borderId="0" xfId="5" applyNumberFormat="1" applyFont="1" applyFill="1" applyBorder="1" applyAlignment="1" applyProtection="1">
      <alignment horizontal="center" vertical="center" wrapText="1"/>
    </xf>
    <xf numFmtId="0" fontId="45" fillId="20" borderId="0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0" fontId="45" fillId="0" borderId="0" xfId="0" applyFont="1" applyAlignment="1" applyProtection="1">
      <alignment vertical="center" wrapText="1"/>
    </xf>
    <xf numFmtId="0" fontId="45" fillId="20" borderId="0" xfId="0" applyFont="1" applyFill="1" applyBorder="1" applyAlignment="1" applyProtection="1">
      <alignment wrapText="1"/>
    </xf>
    <xf numFmtId="0" fontId="56" fillId="20" borderId="41" xfId="0" applyFont="1" applyFill="1" applyBorder="1" applyAlignment="1" applyProtection="1">
      <alignment horizontal="left" vertical="center" wrapText="1"/>
    </xf>
    <xf numFmtId="10" fontId="57" fillId="20" borderId="41" xfId="5" applyNumberFormat="1" applyFont="1" applyFill="1" applyBorder="1" applyAlignment="1" applyProtection="1">
      <alignment horizontal="center" vertical="center" wrapText="1"/>
    </xf>
    <xf numFmtId="0" fontId="43" fillId="20" borderId="41" xfId="0" applyFont="1" applyFill="1" applyBorder="1" applyProtection="1"/>
    <xf numFmtId="0" fontId="45" fillId="0" borderId="0" xfId="0" applyFont="1" applyAlignment="1" applyProtection="1">
      <alignment horizontal="center"/>
    </xf>
    <xf numFmtId="10" fontId="43" fillId="0" borderId="0" xfId="0" applyNumberFormat="1" applyFont="1" applyAlignment="1" applyProtection="1">
      <alignment horizontal="center"/>
    </xf>
    <xf numFmtId="10" fontId="43" fillId="0" borderId="0" xfId="5" applyNumberFormat="1" applyFont="1" applyAlignment="1" applyProtection="1">
      <alignment horizontal="center"/>
    </xf>
    <xf numFmtId="175" fontId="43" fillId="0" borderId="0" xfId="0" applyNumberFormat="1" applyFont="1" applyAlignment="1" applyProtection="1">
      <alignment horizontal="center"/>
    </xf>
    <xf numFmtId="9" fontId="43" fillId="0" borderId="0" xfId="5" applyFont="1" applyProtection="1"/>
    <xf numFmtId="0" fontId="43" fillId="0" borderId="23" xfId="0" applyFont="1" applyBorder="1" applyProtection="1"/>
    <xf numFmtId="0" fontId="43" fillId="0" borderId="24" xfId="0" applyFont="1" applyBorder="1" applyProtection="1"/>
    <xf numFmtId="0" fontId="45" fillId="0" borderId="23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58" fillId="0" borderId="0" xfId="0" applyFont="1" applyAlignment="1" applyProtection="1">
      <alignment vertical="center" wrapText="1"/>
    </xf>
    <xf numFmtId="0" fontId="43" fillId="0" borderId="23" xfId="0" applyFont="1" applyBorder="1" applyAlignment="1" applyProtection="1">
      <alignment vertical="center"/>
    </xf>
    <xf numFmtId="9" fontId="43" fillId="0" borderId="0" xfId="0" applyNumberFormat="1" applyFont="1" applyProtection="1"/>
    <xf numFmtId="0" fontId="45" fillId="0" borderId="23" xfId="0" applyFont="1" applyBorder="1" applyProtection="1"/>
    <xf numFmtId="0" fontId="45" fillId="0" borderId="0" xfId="0" applyFont="1" applyBorder="1" applyProtection="1"/>
    <xf numFmtId="0" fontId="58" fillId="0" borderId="43" xfId="0" applyFont="1" applyBorder="1" applyAlignment="1" applyProtection="1">
      <alignment vertical="top" wrapText="1"/>
    </xf>
    <xf numFmtId="10" fontId="58" fillId="0" borderId="42" xfId="0" applyNumberFormat="1" applyFont="1" applyBorder="1" applyAlignment="1" applyProtection="1">
      <alignment horizontal="center" vertical="top" wrapText="1"/>
    </xf>
    <xf numFmtId="0" fontId="43" fillId="0" borderId="40" xfId="0" applyFont="1" applyBorder="1" applyProtection="1"/>
    <xf numFmtId="0" fontId="43" fillId="0" borderId="41" xfId="0" applyFont="1" applyBorder="1" applyProtection="1"/>
    <xf numFmtId="0" fontId="43" fillId="0" borderId="42" xfId="0" applyFont="1" applyBorder="1" applyProtection="1"/>
    <xf numFmtId="0" fontId="58" fillId="0" borderId="44" xfId="0" applyFont="1" applyBorder="1" applyAlignment="1" applyProtection="1">
      <alignment vertical="top" wrapText="1"/>
    </xf>
    <xf numFmtId="10" fontId="58" fillId="0" borderId="25" xfId="0" applyNumberFormat="1" applyFont="1" applyBorder="1" applyAlignment="1" applyProtection="1">
      <alignment horizontal="center" vertical="top" wrapText="1"/>
    </xf>
    <xf numFmtId="0" fontId="43" fillId="0" borderId="23" xfId="0" applyFont="1" applyBorder="1" applyAlignment="1" applyProtection="1">
      <alignment wrapText="1"/>
    </xf>
    <xf numFmtId="0" fontId="43" fillId="35" borderId="0" xfId="0" applyFont="1" applyFill="1" applyBorder="1" applyAlignment="1" applyProtection="1">
      <alignment wrapText="1"/>
    </xf>
    <xf numFmtId="0" fontId="43" fillId="0" borderId="0" xfId="0" applyFont="1" applyBorder="1" applyAlignment="1" applyProtection="1">
      <alignment wrapText="1"/>
    </xf>
    <xf numFmtId="0" fontId="43" fillId="0" borderId="24" xfId="0" applyFont="1" applyBorder="1" applyAlignment="1" applyProtection="1">
      <alignment wrapText="1"/>
    </xf>
    <xf numFmtId="0" fontId="43" fillId="0" borderId="13" xfId="0" applyFont="1" applyBorder="1" applyProtection="1"/>
    <xf numFmtId="0" fontId="43" fillId="0" borderId="13" xfId="0" applyFont="1" applyBorder="1" applyAlignment="1" applyProtection="1">
      <alignment horizontal="center"/>
    </xf>
    <xf numFmtId="10" fontId="58" fillId="0" borderId="13" xfId="0" applyNumberFormat="1" applyFont="1" applyBorder="1" applyAlignment="1" applyProtection="1">
      <alignment horizontal="center" vertical="top" wrapText="1"/>
    </xf>
    <xf numFmtId="0" fontId="58" fillId="0" borderId="13" xfId="0" applyFont="1" applyBorder="1" applyAlignment="1" applyProtection="1">
      <alignment vertical="top" wrapText="1"/>
    </xf>
    <xf numFmtId="0" fontId="58" fillId="0" borderId="44" xfId="0" applyFont="1" applyBorder="1" applyAlignment="1" applyProtection="1">
      <alignment horizontal="center" vertical="top" wrapText="1"/>
    </xf>
    <xf numFmtId="0" fontId="58" fillId="0" borderId="25" xfId="0" applyFont="1" applyBorder="1" applyAlignment="1" applyProtection="1">
      <alignment horizontal="center" vertical="top" wrapText="1"/>
    </xf>
    <xf numFmtId="1" fontId="36" fillId="0" borderId="0" xfId="4" applyNumberFormat="1" applyFont="1" applyFill="1" applyBorder="1" applyAlignment="1">
      <alignment horizontal="left" vertical="center" wrapText="1"/>
    </xf>
    <xf numFmtId="0" fontId="36" fillId="0" borderId="79" xfId="4" applyFont="1" applyFill="1" applyBorder="1" applyAlignment="1">
      <alignment horizontal="center" vertical="center" wrapText="1"/>
    </xf>
    <xf numFmtId="170" fontId="36" fillId="0" borderId="79" xfId="4" applyNumberFormat="1" applyFont="1" applyFill="1" applyBorder="1" applyAlignment="1">
      <alignment horizontal="center" vertical="center" wrapText="1"/>
    </xf>
    <xf numFmtId="2" fontId="36" fillId="0" borderId="79" xfId="4" applyNumberFormat="1" applyFont="1" applyFill="1" applyBorder="1" applyAlignment="1">
      <alignment horizontal="right" vertical="center" wrapText="1"/>
    </xf>
    <xf numFmtId="43" fontId="36" fillId="0" borderId="79" xfId="4" applyNumberFormat="1" applyFont="1" applyFill="1" applyBorder="1" applyAlignment="1">
      <alignment horizontal="right" vertical="center" wrapText="1"/>
    </xf>
    <xf numFmtId="43" fontId="36" fillId="0" borderId="79" xfId="4" applyNumberFormat="1" applyFont="1" applyFill="1" applyBorder="1" applyAlignment="1">
      <alignment horizontal="center" vertical="center" wrapText="1"/>
    </xf>
    <xf numFmtId="43" fontId="36" fillId="0" borderId="16" xfId="4" applyNumberFormat="1" applyFont="1" applyFill="1" applyBorder="1" applyAlignment="1">
      <alignment horizontal="center" vertical="center" wrapText="1"/>
    </xf>
    <xf numFmtId="0" fontId="59" fillId="0" borderId="79" xfId="4" applyFont="1" applyFill="1" applyBorder="1" applyAlignment="1">
      <alignment horizontal="justify" vertical="center" wrapText="1"/>
    </xf>
    <xf numFmtId="164" fontId="31" fillId="36" borderId="35" xfId="6" applyFont="1" applyFill="1" applyBorder="1" applyAlignment="1">
      <alignment vertical="top"/>
    </xf>
    <xf numFmtId="0" fontId="40" fillId="18" borderId="37" xfId="0" applyFont="1" applyFill="1" applyBorder="1" applyAlignment="1">
      <alignment horizontal="left" vertical="top"/>
    </xf>
    <xf numFmtId="0" fontId="40" fillId="18" borderId="38" xfId="0" applyFont="1" applyFill="1" applyBorder="1" applyAlignment="1">
      <alignment horizontal="left" vertical="top"/>
    </xf>
    <xf numFmtId="0" fontId="40" fillId="18" borderId="34" xfId="0" applyFont="1" applyFill="1" applyBorder="1" applyAlignment="1">
      <alignment horizontal="left" vertical="top"/>
    </xf>
    <xf numFmtId="0" fontId="40" fillId="18" borderId="35" xfId="0" applyFont="1" applyFill="1" applyBorder="1" applyAlignment="1">
      <alignment horizontal="left" vertical="top"/>
    </xf>
    <xf numFmtId="0" fontId="40" fillId="20" borderId="23" xfId="0" applyFont="1" applyFill="1" applyBorder="1" applyAlignment="1">
      <alignment horizontal="center"/>
    </xf>
    <xf numFmtId="0" fontId="40" fillId="20" borderId="0" xfId="0" applyFont="1" applyFill="1" applyBorder="1" applyAlignment="1">
      <alignment horizontal="center"/>
    </xf>
    <xf numFmtId="0" fontId="37" fillId="31" borderId="29" xfId="98" applyFont="1" applyFill="1" applyBorder="1" applyAlignment="1">
      <alignment horizontal="right" vertical="top" wrapText="1"/>
    </xf>
    <xf numFmtId="0" fontId="37" fillId="18" borderId="10" xfId="0" applyFont="1" applyFill="1" applyBorder="1" applyAlignment="1">
      <alignment horizontal="center" vertical="center"/>
    </xf>
    <xf numFmtId="0" fontId="37" fillId="18" borderId="67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top"/>
    </xf>
    <xf numFmtId="0" fontId="37" fillId="0" borderId="66" xfId="0" applyFont="1" applyFill="1" applyBorder="1" applyAlignment="1">
      <alignment horizontal="center" vertical="top"/>
    </xf>
    <xf numFmtId="0" fontId="37" fillId="0" borderId="16" xfId="0" applyFont="1" applyFill="1" applyBorder="1" applyAlignment="1">
      <alignment horizontal="center" vertical="top"/>
    </xf>
    <xf numFmtId="0" fontId="32" fillId="20" borderId="14" xfId="0" applyFont="1" applyFill="1" applyBorder="1" applyAlignment="1">
      <alignment horizontal="center" vertical="top"/>
    </xf>
    <xf numFmtId="0" fontId="32" fillId="20" borderId="66" xfId="0" applyFont="1" applyFill="1" applyBorder="1" applyAlignment="1">
      <alignment horizontal="center" vertical="top"/>
    </xf>
    <xf numFmtId="0" fontId="32" fillId="20" borderId="16" xfId="0" applyFont="1" applyFill="1" applyBorder="1" applyAlignment="1">
      <alignment horizontal="center" vertical="top"/>
    </xf>
    <xf numFmtId="0" fontId="37" fillId="31" borderId="0" xfId="98" applyFont="1" applyFill="1" applyBorder="1" applyAlignment="1">
      <alignment horizontal="right" vertical="top" wrapText="1"/>
    </xf>
    <xf numFmtId="0" fontId="34" fillId="20" borderId="23" xfId="0" applyFont="1" applyFill="1" applyBorder="1" applyAlignment="1">
      <alignment horizontal="center" vertical="center"/>
    </xf>
    <xf numFmtId="0" fontId="34" fillId="20" borderId="0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4" fontId="35" fillId="0" borderId="26" xfId="4" applyNumberFormat="1" applyFont="1" applyFill="1" applyBorder="1" applyAlignment="1">
      <alignment horizontal="center" vertical="center" wrapText="1"/>
    </xf>
    <xf numFmtId="4" fontId="35" fillId="0" borderId="11" xfId="4" applyNumberFormat="1" applyFont="1" applyFill="1" applyBorder="1" applyAlignment="1">
      <alignment horizontal="center" vertical="center" wrapText="1"/>
    </xf>
    <xf numFmtId="43" fontId="35" fillId="0" borderId="26" xfId="4" applyNumberFormat="1" applyFont="1" applyFill="1" applyBorder="1" applyAlignment="1">
      <alignment horizontal="right" vertical="center" wrapText="1"/>
    </xf>
    <xf numFmtId="43" fontId="35" fillId="0" borderId="11" xfId="4" applyNumberFormat="1" applyFont="1" applyFill="1" applyBorder="1" applyAlignment="1">
      <alignment horizontal="right" vertical="center" wrapText="1"/>
    </xf>
    <xf numFmtId="43" fontId="35" fillId="0" borderId="26" xfId="4" applyNumberFormat="1" applyFont="1" applyFill="1" applyBorder="1" applyAlignment="1">
      <alignment horizontal="center" vertical="center" wrapText="1"/>
    </xf>
    <xf numFmtId="43" fontId="35" fillId="0" borderId="11" xfId="4" applyNumberFormat="1" applyFont="1" applyFill="1" applyBorder="1" applyAlignment="1">
      <alignment horizontal="center" vertical="center" wrapText="1"/>
    </xf>
    <xf numFmtId="43" fontId="35" fillId="0" borderId="17" xfId="4" applyNumberFormat="1" applyFont="1" applyFill="1" applyBorder="1" applyAlignment="1">
      <alignment horizontal="center" vertical="center" wrapText="1"/>
    </xf>
    <xf numFmtId="43" fontId="35" fillId="0" borderId="12" xfId="4" applyNumberFormat="1" applyFont="1" applyFill="1" applyBorder="1" applyAlignment="1">
      <alignment horizontal="center" vertical="center" wrapText="1"/>
    </xf>
    <xf numFmtId="1" fontId="35" fillId="0" borderId="26" xfId="4" applyNumberFormat="1" applyFont="1" applyFill="1" applyBorder="1" applyAlignment="1">
      <alignment horizontal="center" vertical="center" wrapText="1"/>
    </xf>
    <xf numFmtId="1" fontId="35" fillId="0" borderId="11" xfId="4" applyNumberFormat="1" applyFont="1" applyFill="1" applyBorder="1" applyAlignment="1">
      <alignment horizontal="center" vertical="center" wrapText="1"/>
    </xf>
    <xf numFmtId="170" fontId="35" fillId="0" borderId="26" xfId="4" applyNumberFormat="1" applyFont="1" applyFill="1" applyBorder="1" applyAlignment="1">
      <alignment horizontal="center" vertical="center" wrapText="1"/>
    </xf>
    <xf numFmtId="170" fontId="35" fillId="0" borderId="11" xfId="4" applyNumberFormat="1" applyFont="1" applyFill="1" applyBorder="1" applyAlignment="1">
      <alignment horizontal="center" vertical="center" wrapText="1"/>
    </xf>
    <xf numFmtId="0" fontId="32" fillId="20" borderId="41" xfId="0" applyFont="1" applyFill="1" applyBorder="1" applyAlignment="1">
      <alignment horizontal="center"/>
    </xf>
    <xf numFmtId="0" fontId="32" fillId="20" borderId="42" xfId="0" applyFont="1" applyFill="1" applyBorder="1" applyAlignment="1">
      <alignment horizontal="center"/>
    </xf>
    <xf numFmtId="4" fontId="43" fillId="20" borderId="45" xfId="104" applyNumberFormat="1" applyFont="1" applyFill="1" applyBorder="1" applyAlignment="1">
      <alignment horizontal="left" vertical="center" wrapText="1"/>
    </xf>
    <xf numFmtId="4" fontId="43" fillId="20" borderId="47" xfId="104" applyNumberFormat="1" applyFont="1" applyFill="1" applyBorder="1" applyAlignment="1">
      <alignment horizontal="left" vertical="center" wrapText="1"/>
    </xf>
    <xf numFmtId="4" fontId="43" fillId="20" borderId="46" xfId="104" applyNumberFormat="1" applyFont="1" applyFill="1" applyBorder="1" applyAlignment="1">
      <alignment horizontal="left" vertical="center" wrapText="1"/>
    </xf>
    <xf numFmtId="0" fontId="44" fillId="20" borderId="77" xfId="0" applyFont="1" applyFill="1" applyBorder="1" applyAlignment="1" applyProtection="1">
      <alignment horizontal="center" vertical="center"/>
    </xf>
    <xf numFmtId="0" fontId="45" fillId="20" borderId="0" xfId="0" applyFont="1" applyFill="1" applyBorder="1" applyAlignment="1" applyProtection="1">
      <alignment horizontal="center" vertical="center"/>
    </xf>
    <xf numFmtId="173" fontId="48" fillId="34" borderId="14" xfId="6" applyNumberFormat="1" applyFont="1" applyFill="1" applyBorder="1" applyAlignment="1" applyProtection="1">
      <alignment horizontal="left" vertical="center" wrapText="1"/>
      <protection locked="0"/>
    </xf>
    <xf numFmtId="173" fontId="48" fillId="34" borderId="79" xfId="6" applyNumberFormat="1" applyFont="1" applyFill="1" applyBorder="1" applyAlignment="1" applyProtection="1">
      <alignment horizontal="left" vertical="center" wrapText="1"/>
      <protection locked="0"/>
    </xf>
    <xf numFmtId="173" fontId="48" fillId="34" borderId="16" xfId="6" applyNumberFormat="1" applyFont="1" applyFill="1" applyBorder="1" applyAlignment="1" applyProtection="1">
      <alignment horizontal="left" vertical="center" wrapText="1"/>
      <protection locked="0"/>
    </xf>
    <xf numFmtId="0" fontId="43" fillId="20" borderId="80" xfId="0" applyFont="1" applyFill="1" applyBorder="1" applyAlignment="1" applyProtection="1">
      <alignment horizontal="justify" vertical="top" wrapText="1"/>
    </xf>
    <xf numFmtId="0" fontId="43" fillId="20" borderId="81" xfId="0" applyFont="1" applyFill="1" applyBorder="1" applyAlignment="1" applyProtection="1">
      <alignment horizontal="justify" vertical="top" wrapText="1"/>
    </xf>
    <xf numFmtId="0" fontId="43" fillId="20" borderId="72" xfId="0" applyFont="1" applyFill="1" applyBorder="1" applyAlignment="1" applyProtection="1">
      <alignment horizontal="justify" vertical="top" wrapText="1"/>
    </xf>
    <xf numFmtId="0" fontId="43" fillId="20" borderId="23" xfId="0" applyFont="1" applyFill="1" applyBorder="1" applyAlignment="1">
      <alignment horizontal="left" vertical="center" wrapText="1"/>
    </xf>
    <xf numFmtId="0" fontId="43" fillId="20" borderId="0" xfId="0" applyFont="1" applyFill="1" applyBorder="1" applyAlignment="1">
      <alignment horizontal="left" vertical="center" wrapText="1"/>
    </xf>
    <xf numFmtId="0" fontId="43" fillId="20" borderId="24" xfId="0" applyFont="1" applyFill="1" applyBorder="1" applyAlignment="1">
      <alignment horizontal="left" vertical="center" wrapText="1"/>
    </xf>
    <xf numFmtId="4" fontId="43" fillId="20" borderId="23" xfId="104" applyNumberFormat="1" applyFont="1" applyFill="1" applyBorder="1" applyAlignment="1">
      <alignment horizontal="left" vertical="center" wrapText="1"/>
    </xf>
    <xf numFmtId="4" fontId="43" fillId="20" borderId="0" xfId="104" applyNumberFormat="1" applyFont="1" applyFill="1" applyBorder="1" applyAlignment="1">
      <alignment horizontal="left" vertical="center" wrapText="1"/>
    </xf>
    <xf numFmtId="4" fontId="43" fillId="20" borderId="24" xfId="104" applyNumberFormat="1" applyFont="1" applyFill="1" applyBorder="1" applyAlignment="1">
      <alignment horizontal="left" vertical="center" wrapText="1"/>
    </xf>
    <xf numFmtId="10" fontId="48" fillId="20" borderId="13" xfId="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</xf>
    <xf numFmtId="0" fontId="45" fillId="20" borderId="0" xfId="0" applyFont="1" applyFill="1" applyBorder="1" applyAlignment="1" applyProtection="1">
      <alignment horizontal="center" vertical="center" wrapText="1"/>
    </xf>
    <xf numFmtId="0" fontId="45" fillId="20" borderId="0" xfId="0" applyFont="1" applyFill="1" applyBorder="1" applyAlignment="1" applyProtection="1">
      <alignment horizontal="center"/>
    </xf>
    <xf numFmtId="0" fontId="43" fillId="20" borderId="0" xfId="0" applyFont="1" applyFill="1" applyBorder="1" applyAlignment="1" applyProtection="1">
      <alignment horizontal="left" vertical="center" wrapText="1"/>
    </xf>
    <xf numFmtId="10" fontId="52" fillId="20" borderId="0" xfId="5" applyNumberFormat="1" applyFont="1" applyFill="1" applyBorder="1" applyAlignment="1" applyProtection="1">
      <alignment horizontal="center"/>
    </xf>
    <xf numFmtId="0" fontId="54" fillId="20" borderId="83" xfId="0" applyFont="1" applyFill="1" applyBorder="1" applyAlignment="1" applyProtection="1">
      <alignment horizontal="center"/>
    </xf>
    <xf numFmtId="0" fontId="54" fillId="20" borderId="77" xfId="0" applyFont="1" applyFill="1" applyBorder="1" applyAlignment="1" applyProtection="1">
      <alignment horizontal="center"/>
    </xf>
    <xf numFmtId="0" fontId="54" fillId="20" borderId="84" xfId="0" applyFont="1" applyFill="1" applyBorder="1" applyAlignment="1" applyProtection="1">
      <alignment horizontal="center"/>
    </xf>
    <xf numFmtId="0" fontId="53" fillId="20" borderId="0" xfId="0" applyFont="1" applyFill="1" applyBorder="1" applyAlignment="1" applyProtection="1">
      <alignment vertical="center" wrapText="1"/>
    </xf>
    <xf numFmtId="10" fontId="46" fillId="20" borderId="85" xfId="5" applyNumberFormat="1" applyFont="1" applyFill="1" applyBorder="1" applyAlignment="1" applyProtection="1">
      <alignment horizontal="center" vertical="center"/>
    </xf>
    <xf numFmtId="10" fontId="46" fillId="20" borderId="86" xfId="5" applyNumberFormat="1" applyFont="1" applyFill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/>
    </xf>
    <xf numFmtId="0" fontId="45" fillId="0" borderId="47" xfId="0" applyFont="1" applyBorder="1" applyAlignment="1" applyProtection="1">
      <alignment horizontal="center"/>
    </xf>
    <xf numFmtId="0" fontId="45" fillId="0" borderId="46" xfId="0" applyFont="1" applyBorder="1" applyAlignment="1" applyProtection="1">
      <alignment horizontal="center"/>
    </xf>
    <xf numFmtId="0" fontId="43" fillId="0" borderId="41" xfId="0" applyFont="1" applyBorder="1" applyAlignment="1" applyProtection="1">
      <alignment horizontal="center"/>
    </xf>
    <xf numFmtId="0" fontId="43" fillId="0" borderId="23" xfId="0" applyFont="1" applyBorder="1" applyAlignment="1" applyProtection="1">
      <alignment horizontal="left" wrapText="1"/>
    </xf>
    <xf numFmtId="0" fontId="43" fillId="0" borderId="0" xfId="0" applyFont="1" applyBorder="1" applyAlignment="1" applyProtection="1">
      <alignment horizontal="left" wrapText="1"/>
    </xf>
    <xf numFmtId="0" fontId="43" fillId="0" borderId="24" xfId="0" applyFont="1" applyBorder="1" applyAlignment="1" applyProtection="1">
      <alignment horizontal="left" wrapText="1"/>
    </xf>
  </cellXfs>
  <cellStyles count="120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alculation 2" xfId="108"/>
    <cellStyle name="Cálculo 2" xfId="57"/>
    <cellStyle name="Cálculo 2 2" xfId="109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ntrada 2 2" xfId="110"/>
    <cellStyle name="Excel Built-in Comma" xfId="1"/>
    <cellStyle name="Excel Built-in Normal" xfId="2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Input 2" xfId="111"/>
    <cellStyle name="Linked Cell" xfId="76"/>
    <cellStyle name="Neutra 2" xfId="77"/>
    <cellStyle name="Neutral" xfId="78"/>
    <cellStyle name="Normal" xfId="0" builtinId="0"/>
    <cellStyle name="Normal 2" xfId="3"/>
    <cellStyle name="Normal 3" xfId="11"/>
    <cellStyle name="Normal 4" xfId="94"/>
    <cellStyle name="Normal 5" xfId="96"/>
    <cellStyle name="Normal 6" xfId="7"/>
    <cellStyle name="Normal 7" xfId="98"/>
    <cellStyle name="Normal 8" xfId="101"/>
    <cellStyle name="Normal 9" xfId="105"/>
    <cellStyle name="Normal_Pesquisa no referencial 10 de maio de 2013" xfId="4"/>
    <cellStyle name="Normal_Pesquisa no referencial 10 de maio de 2013 2" xfId="104"/>
    <cellStyle name="Nota 2" xfId="79"/>
    <cellStyle name="Nota 2 2" xfId="112"/>
    <cellStyle name="Nota 3" xfId="93"/>
    <cellStyle name="Nota 3 2" xfId="117"/>
    <cellStyle name="Nota 4" xfId="95"/>
    <cellStyle name="Nota 4 2" xfId="118"/>
    <cellStyle name="Nota 5" xfId="97"/>
    <cellStyle name="Nota 5 2" xfId="119"/>
    <cellStyle name="Note" xfId="80"/>
    <cellStyle name="Note 2" xfId="113"/>
    <cellStyle name="Output" xfId="81"/>
    <cellStyle name="Output 2" xfId="114"/>
    <cellStyle name="Porcentagem" xfId="5" builtinId="5"/>
    <cellStyle name="Porcentagem 2" xfId="9"/>
    <cellStyle name="Porcentagem 3" xfId="100"/>
    <cellStyle name="Porcentagem 4" xfId="103"/>
    <cellStyle name="Porcentagem 5" xfId="107"/>
    <cellStyle name="Saída 2" xfId="82"/>
    <cellStyle name="Saída 2 2" xfId="115"/>
    <cellStyle name="Separador de milhares" xfId="6" builtinId="3"/>
    <cellStyle name="Separador de milhares 5" xfId="10"/>
    <cellStyle name="Texto de Aviso 2" xfId="83"/>
    <cellStyle name="Texto Explicativo 2" xfId="84"/>
    <cellStyle name="Title" xfId="85"/>
    <cellStyle name="Título 1 2" xfId="87"/>
    <cellStyle name="Título 2 2" xfId="88"/>
    <cellStyle name="Título 3 2" xfId="89"/>
    <cellStyle name="Título 4 2" xfId="90"/>
    <cellStyle name="Título 5" xfId="86"/>
    <cellStyle name="Total 2" xfId="91"/>
    <cellStyle name="Total 2 2" xfId="116"/>
    <cellStyle name="Vírgula 2" xfId="8"/>
    <cellStyle name="Vírgula 3" xfId="99"/>
    <cellStyle name="Vírgula 4" xfId="102"/>
    <cellStyle name="Vírgula 5" xfId="106"/>
    <cellStyle name="Warning Text" xfId="92"/>
  </cellStyles>
  <dxfs count="408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7"/>
      </font>
      <fill>
        <patternFill patternType="solid">
          <bgColor indexed="2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P/PREFEITURAS%20MUNIC_DO%20ESTADO%20DE%20MT/Prefeitura%20Municipal%20de%20Rondon&#243;polis/Obras%20El&#233;trica%202017/OR&#199;AMENTOS%20REVISADOS/REV_CX_25-10-17/PLANILHA_IP_ORNAMENTAL_102017_REV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PLANILHA ORÇAMENTÁRIA"/>
      <sheetName val="COMPOSIÇÃO"/>
      <sheetName val="LOCAÇÃO POSTES"/>
      <sheetName val="BDI"/>
      <sheetName val="COTAÇÕES"/>
    </sheetNames>
    <sheetDataSet>
      <sheetData sheetId="0"/>
      <sheetData sheetId="1"/>
      <sheetData sheetId="2">
        <row r="2">
          <cell r="A2" t="str">
            <v>OBRA: IMPLANTAÇÃO DO SISTEMA DE ILUMINAÇÃO PÚBLICA DO TIPO ORNAMENTAL COM LUMINÁRIAS LED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0" zoomScaleNormal="70" workbookViewId="0">
      <selection activeCell="M41" sqref="M41"/>
    </sheetView>
  </sheetViews>
  <sheetFormatPr defaultColWidth="9.140625" defaultRowHeight="15"/>
  <cols>
    <col min="1" max="1" width="7.42578125" style="177" customWidth="1"/>
    <col min="2" max="2" width="60.140625" style="177" customWidth="1"/>
    <col min="3" max="3" width="9" style="177" bestFit="1" customWidth="1"/>
    <col min="4" max="4" width="13.85546875" style="177" bestFit="1" customWidth="1"/>
    <col min="5" max="6" width="14.28515625" style="177" bestFit="1" customWidth="1"/>
    <col min="7" max="7" width="17.140625" style="177" bestFit="1" customWidth="1"/>
    <col min="8" max="8" width="13.140625" style="177" bestFit="1" customWidth="1"/>
    <col min="9" max="10" width="11.7109375" style="177" bestFit="1" customWidth="1"/>
    <col min="11" max="16384" width="9.140625" style="177"/>
  </cols>
  <sheetData>
    <row r="1" spans="1:8" ht="28.15" customHeight="1">
      <c r="A1" s="263" t="s">
        <v>227</v>
      </c>
      <c r="B1" s="264"/>
      <c r="C1" s="264"/>
      <c r="D1" s="244"/>
      <c r="E1" s="244"/>
      <c r="F1" s="244"/>
      <c r="G1" s="245"/>
    </row>
    <row r="2" spans="1:8" ht="15" customHeight="1">
      <c r="A2" s="12" t="s">
        <v>228</v>
      </c>
      <c r="B2" s="1"/>
      <c r="C2" s="1"/>
      <c r="D2" s="260"/>
      <c r="E2" s="260"/>
      <c r="F2" s="260"/>
      <c r="G2" s="261"/>
    </row>
    <row r="3" spans="1:8" ht="15" customHeight="1">
      <c r="A3" s="23" t="s">
        <v>193</v>
      </c>
      <c r="B3" s="262"/>
      <c r="C3" s="262"/>
      <c r="D3" s="260"/>
      <c r="E3" s="260"/>
      <c r="F3" s="260"/>
      <c r="G3" s="261"/>
    </row>
    <row r="4" spans="1:8" ht="8.1" customHeight="1">
      <c r="A4" s="178"/>
      <c r="B4" s="179"/>
      <c r="C4" s="179"/>
      <c r="D4" s="179"/>
      <c r="E4" s="179"/>
      <c r="F4" s="179"/>
      <c r="G4" s="180"/>
    </row>
    <row r="5" spans="1:8" ht="15" customHeight="1">
      <c r="A5" s="368" t="s">
        <v>11</v>
      </c>
      <c r="B5" s="369"/>
      <c r="C5" s="369"/>
      <c r="D5" s="181"/>
      <c r="E5" s="181"/>
      <c r="F5" s="181"/>
      <c r="G5" s="182"/>
    </row>
    <row r="6" spans="1:8" ht="13.5" customHeight="1" thickBot="1">
      <c r="A6" s="175"/>
      <c r="B6" s="176"/>
      <c r="C6" s="176"/>
      <c r="D6" s="176"/>
      <c r="E6" s="176"/>
      <c r="F6" s="176"/>
      <c r="G6" s="183"/>
    </row>
    <row r="7" spans="1:8">
      <c r="A7" s="184" t="s">
        <v>4</v>
      </c>
      <c r="B7" s="184" t="s">
        <v>60</v>
      </c>
      <c r="C7" s="185" t="s">
        <v>39</v>
      </c>
      <c r="D7" s="185" t="s">
        <v>12</v>
      </c>
      <c r="E7" s="185" t="s">
        <v>13</v>
      </c>
      <c r="F7" s="185" t="s">
        <v>47</v>
      </c>
      <c r="G7" s="185" t="s">
        <v>3</v>
      </c>
    </row>
    <row r="8" spans="1:8" ht="8.1" customHeight="1">
      <c r="A8" s="186"/>
      <c r="B8" s="187"/>
      <c r="C8" s="188"/>
      <c r="D8" s="188"/>
      <c r="E8" s="188"/>
      <c r="F8" s="189"/>
      <c r="G8" s="190"/>
    </row>
    <row r="9" spans="1:8">
      <c r="A9" s="191">
        <v>1</v>
      </c>
      <c r="B9" s="192" t="str">
        <f>'PLANILHA ORÇAMENTÁRIA'!D10</f>
        <v>SERVIÇOS PRELIMINARES</v>
      </c>
      <c r="C9" s="193">
        <f>G9/$G$36</f>
        <v>1.3292562242945791E-2</v>
      </c>
      <c r="D9" s="194">
        <f>TRUNC(($G$9*D11),3)</f>
        <v>1200.7</v>
      </c>
      <c r="E9" s="194">
        <f>TRUNC(($G$9*E11),3)</f>
        <v>600.35</v>
      </c>
      <c r="F9" s="194">
        <f>TRUNC(($G$9*F11),3)</f>
        <v>600.35</v>
      </c>
      <c r="G9" s="195">
        <f>'PLANILHA ORÇAMENTÁRIA'!J14</f>
        <v>2401.4</v>
      </c>
      <c r="H9" s="196">
        <f>SUM(D9:F9)</f>
        <v>2401.4</v>
      </c>
    </row>
    <row r="10" spans="1:8" ht="8.1" customHeight="1">
      <c r="A10" s="197"/>
      <c r="B10" s="198"/>
      <c r="C10" s="199"/>
      <c r="D10" s="363"/>
      <c r="E10" s="363"/>
      <c r="F10" s="363"/>
      <c r="G10" s="200"/>
    </row>
    <row r="11" spans="1:8">
      <c r="A11" s="201"/>
      <c r="B11" s="202" t="s">
        <v>2</v>
      </c>
      <c r="C11" s="203"/>
      <c r="D11" s="204">
        <v>0.5</v>
      </c>
      <c r="E11" s="204">
        <v>0.25</v>
      </c>
      <c r="F11" s="204">
        <v>0.25</v>
      </c>
      <c r="G11" s="205"/>
      <c r="H11" s="206">
        <f>SUM(D11:F11)</f>
        <v>1</v>
      </c>
    </row>
    <row r="12" spans="1:8">
      <c r="A12" s="211"/>
      <c r="B12" s="212"/>
      <c r="C12" s="213"/>
      <c r="D12" s="243"/>
      <c r="E12" s="243"/>
      <c r="F12" s="243"/>
      <c r="G12" s="214"/>
      <c r="H12" s="206"/>
    </row>
    <row r="13" spans="1:8">
      <c r="A13" s="191">
        <v>2</v>
      </c>
      <c r="B13" s="192" t="str">
        <f>'PLANILHA ORÇAMENTÁRIA'!D16</f>
        <v>SERVIÇOS EM TERRA</v>
      </c>
      <c r="C13" s="193">
        <f>G13/$G$36</f>
        <v>0.17097841871095026</v>
      </c>
      <c r="D13" s="194">
        <f>TRUNC(($G$13*D15),3)</f>
        <v>15444.26</v>
      </c>
      <c r="E13" s="194">
        <f>TRUNC(($G$13*E15),3)</f>
        <v>10810.982</v>
      </c>
      <c r="F13" s="194">
        <f>TRUNC(($G$13*F15),3)</f>
        <v>4633.2780000000002</v>
      </c>
      <c r="G13" s="195">
        <f>'PLANILHA ORÇAMENTÁRIA'!J19</f>
        <v>30888.52</v>
      </c>
      <c r="H13" s="196">
        <f>SUM(D13:F13)</f>
        <v>30888.519999999997</v>
      </c>
    </row>
    <row r="14" spans="1:8" ht="7.9" customHeight="1">
      <c r="A14" s="197"/>
      <c r="B14" s="198"/>
      <c r="C14" s="199"/>
      <c r="D14" s="363"/>
      <c r="E14" s="363"/>
      <c r="F14" s="363"/>
      <c r="G14" s="200"/>
    </row>
    <row r="15" spans="1:8">
      <c r="A15" s="207"/>
      <c r="B15" s="208" t="s">
        <v>2</v>
      </c>
      <c r="C15" s="209"/>
      <c r="D15" s="204">
        <v>0.5</v>
      </c>
      <c r="E15" s="204">
        <v>0.35</v>
      </c>
      <c r="F15" s="204">
        <v>0.15</v>
      </c>
      <c r="G15" s="210"/>
      <c r="H15" s="206">
        <f>SUM(D15:F15)</f>
        <v>1</v>
      </c>
    </row>
    <row r="16" spans="1:8">
      <c r="A16" s="191">
        <v>3</v>
      </c>
      <c r="B16" s="192" t="str">
        <f>'PLANILHA ORÇAMENTÁRIA'!D21</f>
        <v>CONCRETO/ALVENARIA</v>
      </c>
      <c r="C16" s="193">
        <f>G16/$G$36</f>
        <v>1.3537224211438422E-3</v>
      </c>
      <c r="D16" s="194">
        <f>TRUNC(($G$16*D18),3)</f>
        <v>158.964</v>
      </c>
      <c r="E16" s="194">
        <f>TRUNC(($G$16*E18),3)</f>
        <v>61.14</v>
      </c>
      <c r="F16" s="194">
        <f>TRUNC(($G$16*F18),3)</f>
        <v>24.456</v>
      </c>
      <c r="G16" s="195">
        <f>'PLANILHA ORÇAMENTÁRIA'!J24</f>
        <v>244.56</v>
      </c>
      <c r="H16" s="196">
        <f>SUM(D16:F16)</f>
        <v>244.55999999999997</v>
      </c>
    </row>
    <row r="17" spans="1:8" ht="7.9" customHeight="1">
      <c r="A17" s="197"/>
      <c r="B17" s="198"/>
      <c r="C17" s="199"/>
      <c r="D17" s="363"/>
      <c r="E17" s="363"/>
      <c r="F17" s="363"/>
      <c r="G17" s="200"/>
    </row>
    <row r="18" spans="1:8">
      <c r="A18" s="207"/>
      <c r="B18" s="208" t="s">
        <v>2</v>
      </c>
      <c r="C18" s="209"/>
      <c r="D18" s="204">
        <v>0.65</v>
      </c>
      <c r="E18" s="204">
        <v>0.25</v>
      </c>
      <c r="F18" s="204">
        <v>0.1</v>
      </c>
      <c r="G18" s="210"/>
      <c r="H18" s="206">
        <f>SUM(D18:F18)</f>
        <v>1</v>
      </c>
    </row>
    <row r="19" spans="1:8">
      <c r="A19" s="191">
        <v>4</v>
      </c>
      <c r="B19" s="192" t="str">
        <f>'PLANILHA ORÇAMENTÁRIA'!D26</f>
        <v>ESTRUTURAS E DUTOS</v>
      </c>
      <c r="C19" s="193">
        <f>G19/$G$36</f>
        <v>9.5715415397828685E-2</v>
      </c>
      <c r="D19" s="194">
        <f>TRUNC(($G$19*D21),3)</f>
        <v>8645.85</v>
      </c>
      <c r="E19" s="194">
        <f>TRUNC(($G$19*E21),3)</f>
        <v>5187.51</v>
      </c>
      <c r="F19" s="194">
        <f>TRUNC(($G$19*F21),3)</f>
        <v>3458.34</v>
      </c>
      <c r="G19" s="195">
        <f>'PLANILHA ORÇAMENTÁRIA'!J33</f>
        <v>17291.700000000004</v>
      </c>
      <c r="H19" s="196">
        <f>SUM(D19:F19)</f>
        <v>17291.7</v>
      </c>
    </row>
    <row r="20" spans="1:8" ht="7.9" customHeight="1">
      <c r="A20" s="197"/>
      <c r="B20" s="198"/>
      <c r="C20" s="199"/>
      <c r="D20" s="363"/>
      <c r="E20" s="363"/>
      <c r="F20" s="363"/>
      <c r="G20" s="200"/>
    </row>
    <row r="21" spans="1:8">
      <c r="A21" s="207"/>
      <c r="B21" s="208" t="s">
        <v>2</v>
      </c>
      <c r="C21" s="209"/>
      <c r="D21" s="204">
        <v>0.5</v>
      </c>
      <c r="E21" s="204">
        <v>0.3</v>
      </c>
      <c r="F21" s="204">
        <v>0.2</v>
      </c>
      <c r="G21" s="210"/>
      <c r="H21" s="206">
        <f>SUM(D21:F21)</f>
        <v>1</v>
      </c>
    </row>
    <row r="22" spans="1:8">
      <c r="A22" s="191">
        <v>5</v>
      </c>
      <c r="B22" s="192" t="str">
        <f>'PLANILHA ORÇAMENTÁRIA'!D35</f>
        <v>ELÉTRICA - DISJUNTORES, QUADROS E CONTATORES</v>
      </c>
      <c r="C22" s="193">
        <f>G22/$G$36</f>
        <v>9.043138111902627E-3</v>
      </c>
      <c r="D22" s="194">
        <f>TRUNC(($G$22*D24),3)</f>
        <v>163.37100000000001</v>
      </c>
      <c r="E22" s="194">
        <f>TRUNC(($G$22*E24),3)</f>
        <v>490.113</v>
      </c>
      <c r="F22" s="194">
        <f>TRUNC(($G$22*F24),3)</f>
        <v>980.226</v>
      </c>
      <c r="G22" s="195">
        <f>'PLANILHA ORÇAMENTÁRIA'!J44</f>
        <v>1633.71</v>
      </c>
      <c r="H22" s="196">
        <f>SUM(D22:F22)</f>
        <v>1633.71</v>
      </c>
    </row>
    <row r="23" spans="1:8" ht="7.9" customHeight="1">
      <c r="A23" s="197"/>
      <c r="B23" s="198"/>
      <c r="C23" s="199"/>
      <c r="D23" s="363"/>
      <c r="E23" s="363"/>
      <c r="F23" s="363"/>
      <c r="G23" s="200"/>
    </row>
    <row r="24" spans="1:8">
      <c r="A24" s="207"/>
      <c r="B24" s="208" t="s">
        <v>2</v>
      </c>
      <c r="C24" s="209"/>
      <c r="D24" s="204">
        <v>0.1</v>
      </c>
      <c r="E24" s="204">
        <v>0.3</v>
      </c>
      <c r="F24" s="204">
        <v>0.6</v>
      </c>
      <c r="G24" s="210"/>
      <c r="H24" s="206">
        <f>SUM(D24:F24)</f>
        <v>1</v>
      </c>
    </row>
    <row r="25" spans="1:8">
      <c r="A25" s="191">
        <v>6</v>
      </c>
      <c r="B25" s="192" t="str">
        <f>'PLANILHA ORÇAMENTÁRIA'!D46</f>
        <v xml:space="preserve">ELÉTRICA - FIOS E CABOS </v>
      </c>
      <c r="C25" s="193">
        <f>G25/$G$36</f>
        <v>0.12669925209825314</v>
      </c>
      <c r="D25" s="194">
        <f>TRUNC(($G$25*D27),3)</f>
        <v>13733.495999999999</v>
      </c>
      <c r="E25" s="194">
        <f>TRUNC(($G$25*E27),3)</f>
        <v>6866.7479999999996</v>
      </c>
      <c r="F25" s="194">
        <f>TRUNC(($G$25*F27),3)</f>
        <v>2288.9160000000002</v>
      </c>
      <c r="G25" s="195">
        <f>'PLANILHA ORÇAMENTÁRIA'!J53</f>
        <v>22889.16</v>
      </c>
      <c r="H25" s="196">
        <f>SUM(D25:F25)</f>
        <v>22889.16</v>
      </c>
    </row>
    <row r="26" spans="1:8" ht="7.9" customHeight="1">
      <c r="A26" s="197"/>
      <c r="B26" s="198"/>
      <c r="C26" s="199"/>
      <c r="D26" s="363"/>
      <c r="E26" s="363"/>
      <c r="F26" s="363"/>
      <c r="G26" s="200"/>
    </row>
    <row r="27" spans="1:8">
      <c r="A27" s="207"/>
      <c r="B27" s="208" t="s">
        <v>2</v>
      </c>
      <c r="C27" s="209"/>
      <c r="D27" s="204">
        <v>0.6</v>
      </c>
      <c r="E27" s="204">
        <v>0.3</v>
      </c>
      <c r="F27" s="204">
        <v>0.1</v>
      </c>
      <c r="G27" s="210"/>
      <c r="H27" s="206">
        <f>SUM(D27:F27)</f>
        <v>0.99999999999999989</v>
      </c>
    </row>
    <row r="28" spans="1:8">
      <c r="A28" s="191">
        <v>7</v>
      </c>
      <c r="B28" s="192" t="str">
        <f>'PLANILHA ORÇAMENTÁRIA'!D55</f>
        <v>ELÉTRICA - POSTES DE ILUMINAÇÃO, LUMINÁRIAS E PADRÃO DE ENERGIA</v>
      </c>
      <c r="C28" s="193">
        <f>G28/$G$36</f>
        <v>0.57759725562337816</v>
      </c>
      <c r="D28" s="194">
        <f>TRUNC(($G$28*D30),3)</f>
        <v>52173.614999999998</v>
      </c>
      <c r="E28" s="194">
        <f>TRUNC(($G$28*E30),3)</f>
        <v>31304.169000000002</v>
      </c>
      <c r="F28" s="194">
        <f>TRUNC(($G$28*F30),3)</f>
        <v>20869.446</v>
      </c>
      <c r="G28" s="195">
        <f>'PLANILHA ORÇAMENTÁRIA'!J60</f>
        <v>104347.23</v>
      </c>
      <c r="H28" s="196">
        <f>SUM(D28:F28)</f>
        <v>104347.23</v>
      </c>
    </row>
    <row r="29" spans="1:8" ht="7.9" customHeight="1">
      <c r="A29" s="197"/>
      <c r="B29" s="198"/>
      <c r="C29" s="199"/>
      <c r="D29" s="363"/>
      <c r="E29" s="363"/>
      <c r="F29" s="363"/>
      <c r="G29" s="200"/>
    </row>
    <row r="30" spans="1:8">
      <c r="A30" s="207"/>
      <c r="B30" s="208" t="s">
        <v>2</v>
      </c>
      <c r="C30" s="209"/>
      <c r="D30" s="204">
        <v>0.5</v>
      </c>
      <c r="E30" s="204">
        <v>0.3</v>
      </c>
      <c r="F30" s="204">
        <v>0.2</v>
      </c>
      <c r="G30" s="210"/>
      <c r="H30" s="206">
        <f>SUM(D30:F30)</f>
        <v>1</v>
      </c>
    </row>
    <row r="31" spans="1:8">
      <c r="A31" s="191">
        <v>8</v>
      </c>
      <c r="B31" s="192" t="str">
        <f>'PLANILHA ORÇAMENTÁRIA'!D62</f>
        <v>ELÉTRICA - DIVERSOS</v>
      </c>
      <c r="C31" s="193">
        <f>G31/$G$36</f>
        <v>5.3202353935974502E-3</v>
      </c>
      <c r="D31" s="194">
        <f>TRUNC(($G$31*D33),3)</f>
        <v>384.45600000000002</v>
      </c>
      <c r="E31" s="194">
        <f>TRUNC(($G$31*E33),3)</f>
        <v>384.45600000000002</v>
      </c>
      <c r="F31" s="194">
        <f>TRUNC(($G$31*F33),3)</f>
        <v>192.22800000000001</v>
      </c>
      <c r="G31" s="195">
        <f>'PLANILHA ORÇAMENTÁRIA'!J67</f>
        <v>961.13999999999987</v>
      </c>
      <c r="H31" s="196">
        <f>SUM(D31:F31)</f>
        <v>961.1400000000001</v>
      </c>
    </row>
    <row r="32" spans="1:8" ht="7.9" customHeight="1">
      <c r="A32" s="197"/>
      <c r="B32" s="198"/>
      <c r="C32" s="199"/>
      <c r="D32" s="363"/>
      <c r="E32" s="363"/>
      <c r="F32" s="363"/>
      <c r="G32" s="200"/>
    </row>
    <row r="33" spans="1:9">
      <c r="A33" s="207"/>
      <c r="B33" s="208" t="s">
        <v>2</v>
      </c>
      <c r="C33" s="209"/>
      <c r="D33" s="204">
        <v>0.4</v>
      </c>
      <c r="E33" s="204">
        <v>0.4</v>
      </c>
      <c r="F33" s="204">
        <v>0.2</v>
      </c>
      <c r="G33" s="210"/>
      <c r="H33" s="206">
        <f>SUM(D33:F33)</f>
        <v>1</v>
      </c>
    </row>
    <row r="34" spans="1:9">
      <c r="A34" s="211"/>
      <c r="B34" s="212"/>
      <c r="C34" s="213"/>
      <c r="D34" s="243"/>
      <c r="E34" s="243"/>
      <c r="F34" s="243"/>
      <c r="G34" s="214"/>
      <c r="H34" s="206"/>
    </row>
    <row r="35" spans="1:9" ht="8.1" customHeight="1">
      <c r="A35" s="215"/>
      <c r="B35" s="216"/>
      <c r="C35" s="217"/>
      <c r="D35" s="218"/>
      <c r="E35" s="218"/>
      <c r="F35" s="219"/>
      <c r="G35" s="220"/>
    </row>
    <row r="36" spans="1:9">
      <c r="A36" s="221"/>
      <c r="B36" s="222" t="s">
        <v>124</v>
      </c>
      <c r="C36" s="223">
        <f>C9+C13+C16+C19+C22+C25+C28+C31</f>
        <v>1</v>
      </c>
      <c r="D36" s="224">
        <f>TRUNC((D9+D13+D16+D19+D22+D25+D28+D31),4)</f>
        <v>91904.712</v>
      </c>
      <c r="E36" s="224">
        <f t="shared" ref="E36:F36" si="0">TRUNC((E9+E13+E16+E19+E22+E25+E28+E31),4)</f>
        <v>55705.468000000001</v>
      </c>
      <c r="F36" s="224">
        <f t="shared" si="0"/>
        <v>33047.24</v>
      </c>
      <c r="G36" s="225">
        <f>SUM(G9:G34)</f>
        <v>180657.42</v>
      </c>
    </row>
    <row r="37" spans="1:9">
      <c r="A37" s="226"/>
      <c r="B37" s="227"/>
      <c r="C37" s="227"/>
      <c r="D37" s="227"/>
      <c r="E37" s="228"/>
      <c r="F37" s="228"/>
      <c r="G37" s="225">
        <f>'PLANILHA ORÇAMENTÁRIA'!J70</f>
        <v>44983.69758</v>
      </c>
    </row>
    <row r="38" spans="1:9" ht="18.75" customHeight="1">
      <c r="A38" s="229" t="s">
        <v>125</v>
      </c>
      <c r="B38" s="230"/>
      <c r="C38" s="231"/>
      <c r="D38" s="194">
        <f>TRUNC((D36*'PLANILHA ORÇAMENTÁRIA'!$H$70+D36),4)</f>
        <v>114788.9852</v>
      </c>
      <c r="E38" s="194">
        <f>TRUNC((E36*'PLANILHA ORÇAMENTÁRIA'!$H$70+E36),4)</f>
        <v>69576.129499999995</v>
      </c>
      <c r="F38" s="194">
        <f>TRUNC((F36*'PLANILHA ORÇAMENTÁRIA'!$H$70+F36),4)</f>
        <v>41276.002699999997</v>
      </c>
      <c r="G38" s="232">
        <f>SUM(D38:F38)</f>
        <v>225641.11739999999</v>
      </c>
      <c r="H38" s="233" t="e">
        <f>'PLANILHA ORÇAMENTÁRIA'!J71-CRONOGRAMA!#REF!</f>
        <v>#REF!</v>
      </c>
      <c r="I38" s="233" t="e">
        <f>H38/7</f>
        <v>#REF!</v>
      </c>
    </row>
    <row r="39" spans="1:9" ht="18.75" customHeight="1">
      <c r="A39" s="366" t="s">
        <v>14</v>
      </c>
      <c r="B39" s="367"/>
      <c r="C39" s="367"/>
      <c r="D39" s="234">
        <f>D38</f>
        <v>114788.9852</v>
      </c>
      <c r="E39" s="234">
        <f>D39+E38</f>
        <v>184365.11469999998</v>
      </c>
      <c r="F39" s="234">
        <f t="shared" ref="F39" si="1">E39+F38</f>
        <v>225641.11739999999</v>
      </c>
      <c r="G39" s="235"/>
    </row>
    <row r="40" spans="1:9" ht="17.25" customHeight="1">
      <c r="A40" s="366" t="s">
        <v>15</v>
      </c>
      <c r="B40" s="367"/>
      <c r="C40" s="367"/>
      <c r="D40" s="236">
        <f>D38/$G$38</f>
        <v>0.50872370480469886</v>
      </c>
      <c r="E40" s="236">
        <f>E38/$G$38</f>
        <v>0.30834863034586268</v>
      </c>
      <c r="F40" s="236">
        <f>F38/$G$38</f>
        <v>0.18292766484943848</v>
      </c>
      <c r="G40" s="235"/>
    </row>
    <row r="41" spans="1:9" ht="16.5" customHeight="1">
      <c r="A41" s="364" t="s">
        <v>16</v>
      </c>
      <c r="B41" s="365"/>
      <c r="C41" s="365"/>
      <c r="D41" s="204">
        <f>D40</f>
        <v>0.50872370480469886</v>
      </c>
      <c r="E41" s="204">
        <f>D41+E40</f>
        <v>0.81707233515056155</v>
      </c>
      <c r="F41" s="204">
        <f t="shared" ref="F41" si="2">E41+F40</f>
        <v>1</v>
      </c>
      <c r="G41" s="237"/>
    </row>
  </sheetData>
  <mergeCells count="4">
    <mergeCell ref="A41:C41"/>
    <mergeCell ref="A39:C39"/>
    <mergeCell ref="A40:C40"/>
    <mergeCell ref="A5:C5"/>
  </mergeCells>
  <printOptions horizontalCentered="1" gridLines="1"/>
  <pageMargins left="0.78740157480314965" right="1.7716535433070868" top="0.98425196850393704" bottom="0.78740157480314965" header="0.31496062992125984" footer="0.31496062992125984"/>
  <pageSetup paperSize="9" scale="85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topLeftCell="A58" zoomScale="85" zoomScaleNormal="100" zoomScaleSheetLayoutView="85" workbookViewId="0">
      <selection activeCell="P67" sqref="P67"/>
    </sheetView>
  </sheetViews>
  <sheetFormatPr defaultColWidth="11.42578125" defaultRowHeight="15" customHeight="1"/>
  <cols>
    <col min="1" max="1" width="7.28515625" style="102" customWidth="1"/>
    <col min="2" max="2" width="7.85546875" style="152" customWidth="1"/>
    <col min="3" max="3" width="13.42578125" style="152" customWidth="1"/>
    <col min="4" max="4" width="95.5703125" style="102" customWidth="1"/>
    <col min="5" max="5" width="5.42578125" style="152" customWidth="1"/>
    <col min="6" max="6" width="9.7109375" style="173" customWidth="1"/>
    <col min="7" max="7" width="10.28515625" style="174" customWidth="1"/>
    <col min="8" max="8" width="9.42578125" style="174" bestFit="1" customWidth="1"/>
    <col min="9" max="9" width="9.28515625" style="174" customWidth="1"/>
    <col min="10" max="10" width="14.5703125" style="174" customWidth="1"/>
    <col min="11" max="11" width="14.7109375" style="102" hidden="1" customWidth="1"/>
    <col min="12" max="12" width="16.42578125" style="102" hidden="1" customWidth="1"/>
    <col min="13" max="13" width="12.7109375" style="102" hidden="1" customWidth="1"/>
    <col min="14" max="14" width="11.5703125" style="102" bestFit="1" customWidth="1"/>
    <col min="15" max="16384" width="11.42578125" style="102"/>
  </cols>
  <sheetData>
    <row r="1" spans="1:13" ht="15" customHeight="1">
      <c r="A1" s="101"/>
      <c r="B1" s="371"/>
      <c r="C1" s="371"/>
      <c r="D1" s="371"/>
      <c r="E1" s="371"/>
      <c r="F1" s="371"/>
      <c r="G1" s="371"/>
      <c r="H1" s="371"/>
      <c r="I1" s="372"/>
      <c r="J1" s="373"/>
    </row>
    <row r="2" spans="1:13" ht="15" customHeight="1">
      <c r="A2" s="12" t="s">
        <v>227</v>
      </c>
      <c r="B2" s="14"/>
      <c r="C2" s="1"/>
      <c r="D2" s="1"/>
      <c r="E2" s="1"/>
      <c r="F2" s="1"/>
      <c r="G2" s="1"/>
      <c r="H2" s="1"/>
      <c r="I2" s="1"/>
      <c r="J2" s="2"/>
    </row>
    <row r="3" spans="1:13" ht="15" customHeight="1">
      <c r="A3" s="12" t="s">
        <v>228</v>
      </c>
      <c r="B3" s="25"/>
      <c r="C3" s="1"/>
      <c r="D3" s="1"/>
      <c r="E3" s="1"/>
      <c r="F3" s="1"/>
      <c r="G3" s="1"/>
      <c r="H3" s="1"/>
      <c r="I3" s="1"/>
      <c r="J3" s="2"/>
    </row>
    <row r="4" spans="1:13" ht="15" customHeight="1">
      <c r="A4" s="23" t="s">
        <v>193</v>
      </c>
      <c r="B4" s="25"/>
      <c r="C4" s="1"/>
      <c r="D4" s="1"/>
      <c r="E4" s="1"/>
      <c r="F4" s="1"/>
      <c r="G4" s="1"/>
      <c r="H4" s="1"/>
      <c r="I4" s="1"/>
      <c r="J4" s="2"/>
    </row>
    <row r="5" spans="1:13" ht="15" customHeight="1">
      <c r="A5" s="103"/>
      <c r="B5" s="104"/>
      <c r="C5" s="104"/>
      <c r="D5" s="104"/>
      <c r="E5" s="104"/>
      <c r="F5" s="105"/>
      <c r="G5" s="106"/>
      <c r="H5" s="106"/>
      <c r="I5" s="106"/>
      <c r="J5" s="107"/>
    </row>
    <row r="6" spans="1:13" ht="15" customHeight="1">
      <c r="A6" s="108"/>
      <c r="B6" s="109"/>
      <c r="C6" s="109"/>
      <c r="D6" s="110" t="s">
        <v>108</v>
      </c>
      <c r="E6" s="109"/>
      <c r="F6" s="111"/>
      <c r="G6" s="112"/>
      <c r="H6" s="112"/>
      <c r="I6" s="112"/>
      <c r="J6" s="107"/>
    </row>
    <row r="7" spans="1:13" ht="15" customHeight="1">
      <c r="A7" s="377"/>
      <c r="B7" s="378"/>
      <c r="C7" s="378"/>
      <c r="D7" s="378"/>
      <c r="E7" s="378"/>
      <c r="F7" s="379"/>
      <c r="G7" s="374" t="s">
        <v>190</v>
      </c>
      <c r="H7" s="375"/>
      <c r="I7" s="376"/>
      <c r="J7" s="113" t="s">
        <v>89</v>
      </c>
    </row>
    <row r="8" spans="1:13" ht="15" customHeight="1">
      <c r="A8" s="113" t="s">
        <v>4</v>
      </c>
      <c r="B8" s="113" t="s">
        <v>36</v>
      </c>
      <c r="C8" s="114" t="s">
        <v>5</v>
      </c>
      <c r="D8" s="41" t="s">
        <v>53</v>
      </c>
      <c r="E8" s="113" t="s">
        <v>0</v>
      </c>
      <c r="F8" s="115" t="s">
        <v>6</v>
      </c>
      <c r="G8" s="116" t="s">
        <v>31</v>
      </c>
      <c r="H8" s="114" t="s">
        <v>32</v>
      </c>
      <c r="I8" s="114" t="s">
        <v>88</v>
      </c>
      <c r="J8" s="117" t="s">
        <v>191</v>
      </c>
    </row>
    <row r="9" spans="1:13" ht="15" customHeight="1">
      <c r="A9" s="248"/>
      <c r="B9" s="249"/>
      <c r="C9" s="249"/>
      <c r="D9" s="250"/>
      <c r="E9" s="251"/>
      <c r="F9" s="252"/>
      <c r="G9" s="253"/>
      <c r="H9" s="254"/>
      <c r="I9" s="254"/>
      <c r="J9" s="255"/>
    </row>
    <row r="10" spans="1:13" ht="15" customHeight="1">
      <c r="A10" s="118">
        <v>1</v>
      </c>
      <c r="B10" s="119" t="s">
        <v>34</v>
      </c>
      <c r="C10" s="120"/>
      <c r="D10" s="121" t="s">
        <v>8</v>
      </c>
      <c r="E10" s="119"/>
      <c r="F10" s="122"/>
      <c r="G10" s="123"/>
      <c r="H10" s="123"/>
      <c r="I10" s="123"/>
      <c r="J10" s="124"/>
    </row>
    <row r="11" spans="1:13" s="132" customFormat="1" ht="15" customHeight="1">
      <c r="A11" s="125" t="s">
        <v>9</v>
      </c>
      <c r="B11" s="126">
        <v>1</v>
      </c>
      <c r="C11" s="127" t="str">
        <f>VLOOKUP($B11,COMPOSIÇÃO!$A$10:$K$212,3,FALSE)</f>
        <v>COTAÇÃO</v>
      </c>
      <c r="D11" s="128" t="str">
        <f>VLOOKUP($B11,COMPOSIÇÃO!$A$10:$K$222,4,FALSE)</f>
        <v>ART - ANOTAÇÃO DE RESPONSABILIDADE TÉCNICA</v>
      </c>
      <c r="E11" s="126" t="str">
        <f>VLOOKUP($B11,COMPOSIÇÃO!$A$10:$K$212,5,FALSE)</f>
        <v>UN</v>
      </c>
      <c r="F11" s="129">
        <v>1</v>
      </c>
      <c r="G11" s="130">
        <f>VLOOKUP($B11,COMPOSIÇÃO!$A$10:$K$222,9,FALSE)</f>
        <v>0</v>
      </c>
      <c r="H11" s="130">
        <f>VLOOKUP($B11,COMPOSIÇÃO!$A$10:$K$222,10,FALSE)</f>
        <v>218.54</v>
      </c>
      <c r="I11" s="130">
        <f>TRUNC((H11+G11),2)</f>
        <v>218.54</v>
      </c>
      <c r="J11" s="131">
        <f>TRUNC((H11+G11)*F11,2)</f>
        <v>218.54</v>
      </c>
    </row>
    <row r="12" spans="1:13" s="132" customFormat="1" ht="30" customHeight="1">
      <c r="A12" s="125" t="s">
        <v>293</v>
      </c>
      <c r="B12" s="126">
        <v>2</v>
      </c>
      <c r="C12" s="127" t="str">
        <f>VLOOKUP($B12,COMPOSIÇÃO!$A$10:$K$212,3,FALSE)</f>
        <v>COMPOSIÇÃO</v>
      </c>
      <c r="D12" s="128" t="str">
        <f>VLOOKUP($B12,COMPOSIÇÃO!$A$10:$K$222,4,FALSE)</f>
        <v>MOBILIZACAO E DESMOBILIZAÇÃO DE 01 EQUIPAMENTO CAMINHÃO MUNCK COM CESTO AÉREO, DISTANCIA DE 10KM ATE 20KM</v>
      </c>
      <c r="E12" s="126" t="str">
        <f>VLOOKUP($B12,COMPOSIÇÃO!$A$10:$K$212,5,FALSE)</f>
        <v>UN</v>
      </c>
      <c r="F12" s="129">
        <v>3</v>
      </c>
      <c r="G12" s="130">
        <f>VLOOKUP($B12,COMPOSIÇÃO!$A$10:$K$222,9,FALSE)</f>
        <v>137.91</v>
      </c>
      <c r="H12" s="130">
        <f>VLOOKUP($B12,COMPOSIÇÃO!$A$10:$K$222,10,FALSE)</f>
        <v>15.51</v>
      </c>
      <c r="I12" s="130">
        <f t="shared" ref="I12" si="0">TRUNC((H12+G12),2)</f>
        <v>153.41999999999999</v>
      </c>
      <c r="J12" s="131">
        <f>TRUNC((H12+G12)*F12,2)</f>
        <v>460.26</v>
      </c>
    </row>
    <row r="13" spans="1:13" s="132" customFormat="1" ht="15" customHeight="1">
      <c r="A13" s="125" t="s">
        <v>87</v>
      </c>
      <c r="B13" s="126">
        <v>3</v>
      </c>
      <c r="C13" s="127" t="str">
        <f>VLOOKUP($B13,COMPOSIÇÃO!$A$10:$K$212,3,FALSE)</f>
        <v>74209/001</v>
      </c>
      <c r="D13" s="128" t="str">
        <f>VLOOKUP($B13,COMPOSIÇÃO!$A$10:$K$222,4,FALSE)</f>
        <v>PLACA DE OBRA EM CHAPA DE ACO GALVANIZADO</v>
      </c>
      <c r="E13" s="126" t="str">
        <f>VLOOKUP($B13,COMPOSIÇÃO!$A$10:$K$212,5,FALSE)</f>
        <v>M2</v>
      </c>
      <c r="F13" s="129">
        <v>3</v>
      </c>
      <c r="G13" s="130">
        <f>VLOOKUP($B13,COMPOSIÇÃO!$A$10:$K$222,9,FALSE)</f>
        <v>523.6</v>
      </c>
      <c r="H13" s="130">
        <f>VLOOKUP($B13,COMPOSIÇÃO!$A$10:$K$222,10,FALSE)</f>
        <v>50.6</v>
      </c>
      <c r="I13" s="130">
        <f t="shared" ref="I13" si="1">TRUNC((H13+G13),2)</f>
        <v>574.20000000000005</v>
      </c>
      <c r="J13" s="131">
        <f>TRUNC((H13+G13)*F13,3)</f>
        <v>1722.6</v>
      </c>
    </row>
    <row r="14" spans="1:13" ht="15" customHeight="1">
      <c r="A14" s="133"/>
      <c r="B14" s="134"/>
      <c r="C14" s="134"/>
      <c r="D14" s="135" t="s">
        <v>120</v>
      </c>
      <c r="E14" s="136"/>
      <c r="F14" s="137"/>
      <c r="G14" s="138"/>
      <c r="H14" s="138"/>
      <c r="I14" s="138"/>
      <c r="J14" s="142">
        <f>TRUNC(SUM(J11:J13),2)</f>
        <v>2401.4</v>
      </c>
      <c r="K14" s="139">
        <f>J14*1.2491</f>
        <v>2999.5887400000001</v>
      </c>
      <c r="L14" s="140">
        <f>K14*0.7509</f>
        <v>2252.391184866</v>
      </c>
      <c r="M14" s="141">
        <f>TRUNC((J14*1.2491),2)</f>
        <v>2999.58</v>
      </c>
    </row>
    <row r="15" spans="1:13" ht="15" customHeight="1">
      <c r="A15" s="133"/>
      <c r="B15" s="134"/>
      <c r="C15" s="134"/>
      <c r="D15" s="135"/>
      <c r="E15" s="136"/>
      <c r="F15" s="137"/>
      <c r="G15" s="138"/>
      <c r="H15" s="138"/>
      <c r="I15" s="138"/>
      <c r="J15" s="142"/>
      <c r="K15" s="139"/>
      <c r="L15" s="140"/>
      <c r="M15" s="141"/>
    </row>
    <row r="16" spans="1:13" s="143" customFormat="1" ht="15" customHeight="1">
      <c r="A16" s="118">
        <v>2</v>
      </c>
      <c r="B16" s="119" t="s">
        <v>34</v>
      </c>
      <c r="C16" s="144"/>
      <c r="D16" s="145" t="s">
        <v>64</v>
      </c>
      <c r="E16" s="144"/>
      <c r="F16" s="146"/>
      <c r="G16" s="147"/>
      <c r="H16" s="147"/>
      <c r="I16" s="147"/>
      <c r="J16" s="148"/>
      <c r="K16" s="139"/>
    </row>
    <row r="17" spans="1:14" s="143" customFormat="1" ht="30" customHeight="1">
      <c r="A17" s="125" t="s">
        <v>30</v>
      </c>
      <c r="B17" s="126">
        <v>4</v>
      </c>
      <c r="C17" s="127" t="str">
        <f>VLOOKUP($B17,COMPOSIÇÃO!$A$10:$K$212,3,FALSE)</f>
        <v>93358</v>
      </c>
      <c r="D17" s="256" t="str">
        <f>VLOOKUP($B17,COMPOSIÇÃO!$A$10:$K$212,4,FALSE)</f>
        <v>ESCAVAÇÃO MANUAL DE VALAS. AF_03/2016 (VALA PARA TUBULAÇÃO E ATERRAMENTO DO TRANSFORMADOR)</v>
      </c>
      <c r="E17" s="126" t="str">
        <f>VLOOKUP($B17,COMPOSIÇÃO!$A$10:$K$212,5,FALSE)</f>
        <v>M3</v>
      </c>
      <c r="F17" s="129">
        <v>311</v>
      </c>
      <c r="G17" s="130">
        <f>VLOOKUP($B17,COMPOSIÇÃO!$A$10:$K$222,9,FALSE)</f>
        <v>0</v>
      </c>
      <c r="H17" s="130">
        <f>VLOOKUP($B17,COMPOSIÇÃO!$A$10:$K$222,10,FALSE)</f>
        <v>61.83</v>
      </c>
      <c r="I17" s="130">
        <f t="shared" ref="I17:I18" si="2">H17+G17</f>
        <v>61.83</v>
      </c>
      <c r="J17" s="131">
        <f t="shared" ref="J17:J18" si="3">TRUNC((H17+G17)*F17,2)</f>
        <v>19229.13</v>
      </c>
      <c r="K17" s="139">
        <f>(3180+120)*1.1*0.3*0.5</f>
        <v>544.5</v>
      </c>
      <c r="L17" s="143">
        <f>1300-244</f>
        <v>1056</v>
      </c>
    </row>
    <row r="18" spans="1:14" s="143" customFormat="1" ht="15" customHeight="1">
      <c r="A18" s="125" t="s">
        <v>35</v>
      </c>
      <c r="B18" s="126">
        <v>5</v>
      </c>
      <c r="C18" s="127">
        <f>VLOOKUP($B18,COMPOSIÇÃO!$A$10:$K$212,3,FALSE)</f>
        <v>96995</v>
      </c>
      <c r="D18" s="256" t="str">
        <f>VLOOKUP($B18,COMPOSIÇÃO!$A$10:$K$212,4,FALSE)</f>
        <v>REATERRO DE VALA COM COMPACTAÇÃO MANUAL</v>
      </c>
      <c r="E18" s="126" t="str">
        <f>VLOOKUP($B18,COMPOSIÇÃO!$A$10:$K$212,5,FALSE)</f>
        <v>M3</v>
      </c>
      <c r="F18" s="129">
        <v>311</v>
      </c>
      <c r="G18" s="130">
        <f>VLOOKUP($B18,COMPOSIÇÃO!$A$10:$K$222,9,FALSE)</f>
        <v>0</v>
      </c>
      <c r="H18" s="130">
        <f>VLOOKUP($B18,COMPOSIÇÃO!$A$10:$K$222,10,FALSE)</f>
        <v>37.49</v>
      </c>
      <c r="I18" s="130">
        <f t="shared" si="2"/>
        <v>37.49</v>
      </c>
      <c r="J18" s="131">
        <f t="shared" si="3"/>
        <v>11659.39</v>
      </c>
      <c r="K18" s="139"/>
    </row>
    <row r="19" spans="1:14" s="143" customFormat="1" ht="15" customHeight="1">
      <c r="A19" s="149"/>
      <c r="B19" s="134"/>
      <c r="C19" s="134"/>
      <c r="D19" s="135" t="s">
        <v>10</v>
      </c>
      <c r="E19" s="136"/>
      <c r="F19" s="137"/>
      <c r="G19" s="138"/>
      <c r="H19" s="150"/>
      <c r="I19" s="150"/>
      <c r="J19" s="142">
        <f>SUM(J17:J18)</f>
        <v>30888.52</v>
      </c>
      <c r="K19" s="139"/>
    </row>
    <row r="20" spans="1:14" s="143" customFormat="1" ht="15" customHeight="1">
      <c r="A20" s="125"/>
      <c r="B20" s="126"/>
      <c r="C20" s="127"/>
      <c r="D20" s="128"/>
      <c r="E20" s="126"/>
      <c r="F20" s="129"/>
      <c r="G20" s="130"/>
      <c r="H20" s="130"/>
      <c r="I20" s="130"/>
      <c r="J20" s="131"/>
      <c r="K20" s="139"/>
    </row>
    <row r="21" spans="1:14" s="143" customFormat="1" ht="15" customHeight="1">
      <c r="A21" s="118">
        <v>3</v>
      </c>
      <c r="B21" s="119" t="s">
        <v>34</v>
      </c>
      <c r="C21" s="144"/>
      <c r="D21" s="145" t="s">
        <v>68</v>
      </c>
      <c r="E21" s="144"/>
      <c r="F21" s="146"/>
      <c r="G21" s="147"/>
      <c r="H21" s="147"/>
      <c r="I21" s="147"/>
      <c r="J21" s="148"/>
      <c r="K21" s="139"/>
    </row>
    <row r="22" spans="1:14" s="143" customFormat="1" ht="30" customHeight="1">
      <c r="A22" s="125" t="s">
        <v>130</v>
      </c>
      <c r="B22" s="126">
        <v>6</v>
      </c>
      <c r="C22" s="127">
        <f>VLOOKUP($B22,COMPOSIÇÃO!$A$10:$K$212,3,FALSE)</f>
        <v>94975</v>
      </c>
      <c r="D22" s="256" t="str">
        <f>VLOOKUP($B22,COMPOSIÇÃO!$A$10:$K$212,4,FALSE)</f>
        <v>CONCRETO FCK = 15MPA, TRAÇO 1:3,4:3,5 (CIMENTO/ AREIA MÉDIA/ BRITA 1) - PREPARO MANUAL. AF_07/2016 (PARA TRAVESSIAS E BASES DOS POSTES)</v>
      </c>
      <c r="E22" s="126" t="str">
        <f>VLOOKUP($B22,COMPOSIÇÃO!$A$10:$K$212,5,FALSE)</f>
        <v>M3</v>
      </c>
      <c r="F22" s="129">
        <v>0.5</v>
      </c>
      <c r="G22" s="130">
        <f>VLOOKUP($B22,COMPOSIÇÃO!$A$10:$K$222,9,FALSE)</f>
        <v>229.75</v>
      </c>
      <c r="H22" s="130">
        <f>VLOOKUP($B22,COMPOSIÇÃO!$A$10:$K$222,10,FALSE)</f>
        <v>156.61000000000001</v>
      </c>
      <c r="I22" s="130">
        <f t="shared" ref="I22" si="4">H22+G22</f>
        <v>386.36</v>
      </c>
      <c r="J22" s="131">
        <f t="shared" ref="J22" si="5">TRUNC((H22+G22)*F22,2)</f>
        <v>193.18</v>
      </c>
      <c r="K22" s="139">
        <f>210*0.3*0.1</f>
        <v>6.3000000000000007</v>
      </c>
      <c r="L22" s="143">
        <f>116*0.3*0.3</f>
        <v>10.44</v>
      </c>
      <c r="M22" s="159"/>
      <c r="N22" s="159">
        <f>M22+L22+K22</f>
        <v>16.740000000000002</v>
      </c>
    </row>
    <row r="23" spans="1:14" s="143" customFormat="1" ht="15" customHeight="1">
      <c r="A23" s="125" t="s">
        <v>184</v>
      </c>
      <c r="B23" s="126">
        <v>7</v>
      </c>
      <c r="C23" s="127" t="str">
        <f>VLOOKUP($B23,COMPOSIÇÃO!$A$10:$K$212,3,FALSE)</f>
        <v xml:space="preserve">74157/004 </v>
      </c>
      <c r="D23" s="256" t="str">
        <f>VLOOKUP($B23,COMPOSIÇÃO!$A$10:$K$212,4,FALSE)</f>
        <v>LANCAMENTO/APLICACAO MANUAL DE CONCRETO EM FUNDACOES</v>
      </c>
      <c r="E23" s="126" t="str">
        <f>VLOOKUP($B23,COMPOSIÇÃO!$A$10:$K$212,5,FALSE)</f>
        <v>M³</v>
      </c>
      <c r="F23" s="129">
        <v>0.5</v>
      </c>
      <c r="G23" s="130">
        <f>VLOOKUP($B23,COMPOSIÇÃO!$A$10:$K$222,9,FALSE)</f>
        <v>0.33</v>
      </c>
      <c r="H23" s="130">
        <f>VLOOKUP($B23,COMPOSIÇÃO!$A$10:$K$222,10,FALSE)</f>
        <v>102.43</v>
      </c>
      <c r="I23" s="130">
        <f t="shared" ref="I23" si="6">H23+G23</f>
        <v>102.76</v>
      </c>
      <c r="J23" s="131">
        <f t="shared" ref="J23" si="7">TRUNC((H23+G23)*F23,2)</f>
        <v>51.38</v>
      </c>
      <c r="K23" s="139"/>
      <c r="M23" s="159"/>
    </row>
    <row r="24" spans="1:14" s="143" customFormat="1" ht="15" customHeight="1">
      <c r="A24" s="149"/>
      <c r="B24" s="134"/>
      <c r="C24" s="134"/>
      <c r="D24" s="135" t="s">
        <v>10</v>
      </c>
      <c r="E24" s="136"/>
      <c r="F24" s="137"/>
      <c r="G24" s="138"/>
      <c r="H24" s="150"/>
      <c r="I24" s="150"/>
      <c r="J24" s="142">
        <f>SUM(J22:J23)</f>
        <v>244.56</v>
      </c>
      <c r="K24" s="139"/>
    </row>
    <row r="25" spans="1:14" s="143" customFormat="1" ht="15" customHeight="1">
      <c r="A25" s="125"/>
      <c r="B25" s="126"/>
      <c r="C25" s="127"/>
      <c r="D25" s="128"/>
      <c r="E25" s="126"/>
      <c r="F25" s="129"/>
      <c r="G25" s="130"/>
      <c r="H25" s="130"/>
      <c r="I25" s="130"/>
      <c r="J25" s="131"/>
      <c r="K25" s="139"/>
    </row>
    <row r="26" spans="1:14" s="143" customFormat="1" ht="15" customHeight="1">
      <c r="A26" s="118">
        <v>4</v>
      </c>
      <c r="B26" s="119" t="s">
        <v>34</v>
      </c>
      <c r="C26" s="144"/>
      <c r="D26" s="145" t="s">
        <v>71</v>
      </c>
      <c r="E26" s="144"/>
      <c r="F26" s="146"/>
      <c r="G26" s="147"/>
      <c r="H26" s="147"/>
      <c r="I26" s="147"/>
      <c r="J26" s="148"/>
      <c r="K26" s="139"/>
    </row>
    <row r="27" spans="1:14" s="143" customFormat="1" ht="30" customHeight="1">
      <c r="A27" s="125" t="s">
        <v>131</v>
      </c>
      <c r="B27" s="126">
        <v>8</v>
      </c>
      <c r="C27" s="127" t="str">
        <f>VLOOKUP($B27,COMPOSIÇÃO!$A$10:$K$222,3,FALSE)</f>
        <v>COMPOSIÇÃO</v>
      </c>
      <c r="D27" s="256" t="str">
        <f>VLOOKUP($B27,COMPOSIÇÃO!$A$10:$K$222,4,FALSE)</f>
        <v>ELETRODUTO PVC FLEXÍVEL CORRUGADO, DN 32 MM (1"), PARA CIRCUITOS TERMINAIS, INSTALADO EM SOLO - FORNECIMENTO E INSTALAÇÃO.</v>
      </c>
      <c r="E27" s="126" t="str">
        <f>VLOOKUP($B27,COMPOSIÇÃO!$A$10:$K$222,5,FALSE)</f>
        <v>M</v>
      </c>
      <c r="F27" s="129">
        <v>36</v>
      </c>
      <c r="G27" s="130">
        <f>VLOOKUP($B27,COMPOSIÇÃO!$A$10:$K$222,9,FALSE)</f>
        <v>1.86</v>
      </c>
      <c r="H27" s="130">
        <f>VLOOKUP($B27,COMPOSIÇÃO!$A$10:$K$222,10,FALSE)</f>
        <v>3.5599999999999996</v>
      </c>
      <c r="I27" s="130">
        <f t="shared" ref="I27:I28" si="8">H27+G27</f>
        <v>5.42</v>
      </c>
      <c r="J27" s="131">
        <f t="shared" ref="J27:J28" si="9">TRUNC((H27+G27)*F27,2)</f>
        <v>195.12</v>
      </c>
      <c r="K27" s="139"/>
    </row>
    <row r="28" spans="1:14" s="143" customFormat="1" ht="30" customHeight="1">
      <c r="A28" s="125" t="s">
        <v>132</v>
      </c>
      <c r="B28" s="126">
        <v>9</v>
      </c>
      <c r="C28" s="127" t="str">
        <f>VLOOKUP($B28,COMPOSIÇÃO!$A$10:$K$222,3,FALSE)</f>
        <v>73798/001</v>
      </c>
      <c r="D28" s="256" t="str">
        <f>VLOOKUP($B28,COMPOSIÇÃO!$A$10:$K$222,4,FALSE)</f>
        <v>DUTO ESPIRAL FLEXIVEL SINGELO PEAD D=60MM(2") REVESTIDO COM PVC COM FIO GUIA DE ACO GALVANIZADO, LANCADO DIRETO NO SOLO, INCL CONEXOES</v>
      </c>
      <c r="E28" s="126" t="str">
        <f>VLOOKUP($B28,COMPOSIÇÃO!$A$10:$K$222,5,FALSE)</f>
        <v>M</v>
      </c>
      <c r="F28" s="129">
        <v>600</v>
      </c>
      <c r="G28" s="130">
        <f>VLOOKUP($B28,COMPOSIÇÃO!$A$10:$K$222,9,FALSE)</f>
        <v>10.08</v>
      </c>
      <c r="H28" s="130">
        <f>VLOOKUP($B28,COMPOSIÇÃO!$A$10:$K$222,10,FALSE)</f>
        <v>11.59</v>
      </c>
      <c r="I28" s="130">
        <f t="shared" si="8"/>
        <v>21.67</v>
      </c>
      <c r="J28" s="131">
        <f t="shared" si="9"/>
        <v>13002</v>
      </c>
      <c r="K28" s="139"/>
    </row>
    <row r="29" spans="1:14" s="143" customFormat="1" ht="15" customHeight="1">
      <c r="A29" s="125" t="s">
        <v>133</v>
      </c>
      <c r="B29" s="126">
        <v>10</v>
      </c>
      <c r="C29" s="127">
        <f>VLOOKUP($B29,COMPOSIÇÃO!$A$10:$K$222,3,FALSE)</f>
        <v>83446</v>
      </c>
      <c r="D29" s="256" t="str">
        <f>VLOOKUP($B29,COMPOSIÇÃO!$A$10:$K$222,4,FALSE)</f>
        <v>CAIXA DE PASSAGEM 30X30X40 COM TAMPA E DRENO BRITA</v>
      </c>
      <c r="E29" s="126" t="str">
        <f>VLOOKUP($B29,COMPOSIÇÃO!$A$10:$K$222,5,FALSE)</f>
        <v>UN</v>
      </c>
      <c r="F29" s="129">
        <v>25</v>
      </c>
      <c r="G29" s="130">
        <f>VLOOKUP($B29,COMPOSIÇÃO!$A$10:$K$222,9,FALSE)</f>
        <v>48.7</v>
      </c>
      <c r="H29" s="130">
        <f>VLOOKUP($B29,COMPOSIÇÃO!$A$10:$K$222,10,FALSE)</f>
        <v>102.2</v>
      </c>
      <c r="I29" s="130">
        <f t="shared" ref="I29" si="10">H29+G29</f>
        <v>150.9</v>
      </c>
      <c r="J29" s="131">
        <f t="shared" ref="J29" si="11">TRUNC((H29+G29)*F29,2)</f>
        <v>3772.5</v>
      </c>
      <c r="K29" s="139"/>
    </row>
    <row r="30" spans="1:14" s="143" customFormat="1" ht="30" customHeight="1">
      <c r="A30" s="125" t="s">
        <v>134</v>
      </c>
      <c r="B30" s="126">
        <v>11</v>
      </c>
      <c r="C30" s="127">
        <f>VLOOKUP($B30,COMPOSIÇÃO!$A$10:$K$222,3,FALSE)</f>
        <v>92366</v>
      </c>
      <c r="D30" s="256" t="str">
        <f>VLOOKUP($B30,COMPOSIÇÃO!$A$10:$K$222,4,FALSE)</f>
        <v>TUBO DE AÇO GALVANIZADO COM COSTURA, CLASSE MÉDIA, DN 50 (2"), CONEXÃO ROSQUEADA, INSTALADO EM REDE DE ALIMENTAÇÃO PARA HIDRANTE - FORNECIMENTO E INSTALAÇÃO. AF_12/2015</v>
      </c>
      <c r="E30" s="126" t="str">
        <f>VLOOKUP($B30,COMPOSIÇÃO!$A$10:$K$222,5,FALSE)</f>
        <v>M</v>
      </c>
      <c r="F30" s="129">
        <v>6</v>
      </c>
      <c r="G30" s="130">
        <f>VLOOKUP($B30,COMPOSIÇÃO!$A$10:$K$222,9,FALSE)</f>
        <v>40.58</v>
      </c>
      <c r="H30" s="130">
        <f>VLOOKUP($B30,COMPOSIÇÃO!$A$10:$K$222,10,FALSE)</f>
        <v>7.59</v>
      </c>
      <c r="I30" s="130">
        <f t="shared" ref="I30:I32" si="12">H30+G30</f>
        <v>48.17</v>
      </c>
      <c r="J30" s="131">
        <f t="shared" ref="J30:J32" si="13">TRUNC((H30+G30)*F30,2)</f>
        <v>289.02</v>
      </c>
      <c r="K30" s="139"/>
    </row>
    <row r="31" spans="1:14" s="143" customFormat="1" ht="15" customHeight="1">
      <c r="A31" s="125" t="s">
        <v>135</v>
      </c>
      <c r="B31" s="126">
        <v>12</v>
      </c>
      <c r="C31" s="127">
        <f>VLOOKUP($B31,COMPOSIÇÃO!$A$10:$K$222,3,FALSE)</f>
        <v>93020</v>
      </c>
      <c r="D31" s="256" t="str">
        <f>VLOOKUP($B31,COMPOSIÇÃO!$A$10:$K$222,4,FALSE)</f>
        <v>CURVA 90 GRAUS, PVC, ROSCÁVEL, DN 50MM (2") - FORNECIMENTO E INSTALAÇÃO.</v>
      </c>
      <c r="E31" s="126" t="str">
        <f>VLOOKUP($B31,COMPOSIÇÃO!$A$10:$K$222,5,FALSE)</f>
        <v>UN</v>
      </c>
      <c r="F31" s="129">
        <v>1</v>
      </c>
      <c r="G31" s="130">
        <f>VLOOKUP($B31,COMPOSIÇÃO!$A$10:$K$222,9,FALSE)</f>
        <v>6.47</v>
      </c>
      <c r="H31" s="130">
        <f>VLOOKUP($B31,COMPOSIÇÃO!$A$10:$K$222,10,FALSE)</f>
        <v>13.8</v>
      </c>
      <c r="I31" s="130">
        <f t="shared" si="12"/>
        <v>20.27</v>
      </c>
      <c r="J31" s="131">
        <f t="shared" si="13"/>
        <v>20.27</v>
      </c>
      <c r="K31" s="139"/>
    </row>
    <row r="32" spans="1:14" s="143" customFormat="1" ht="15" customHeight="1">
      <c r="A32" s="125" t="s">
        <v>136</v>
      </c>
      <c r="B32" s="126">
        <v>13</v>
      </c>
      <c r="C32" s="127">
        <f>VLOOKUP($B32,COMPOSIÇÃO!$A$10:$K$222,3,FALSE)</f>
        <v>93014</v>
      </c>
      <c r="D32" s="256" t="str">
        <f>VLOOKUP($B32,COMPOSIÇÃO!$A$10:$K$222,4,FALSE)</f>
        <v>LUVA PARA ELETRODUTO, PVC, ROSCÁVEL, DN 50 MM (2") - FORNECIMENTO E INSTALAÇÃO.</v>
      </c>
      <c r="E32" s="126" t="str">
        <f>VLOOKUP($B32,COMPOSIÇÃO!$A$10:$K$222,5,FALSE)</f>
        <v>UN</v>
      </c>
      <c r="F32" s="129">
        <v>1</v>
      </c>
      <c r="G32" s="130">
        <f>VLOOKUP($B32,COMPOSIÇÃO!$A$10:$K$222,9,FALSE)</f>
        <v>3.6</v>
      </c>
      <c r="H32" s="130">
        <f>VLOOKUP($B32,COMPOSIÇÃO!$A$10:$K$222,10,FALSE)</f>
        <v>9.19</v>
      </c>
      <c r="I32" s="130">
        <f t="shared" si="12"/>
        <v>12.79</v>
      </c>
      <c r="J32" s="131">
        <f t="shared" si="13"/>
        <v>12.79</v>
      </c>
      <c r="K32" s="139"/>
    </row>
    <row r="33" spans="1:11" s="143" customFormat="1" ht="15" customHeight="1">
      <c r="A33" s="149"/>
      <c r="B33" s="134"/>
      <c r="C33" s="134"/>
      <c r="D33" s="135" t="s">
        <v>10</v>
      </c>
      <c r="E33" s="136"/>
      <c r="F33" s="137"/>
      <c r="G33" s="138"/>
      <c r="H33" s="150"/>
      <c r="I33" s="150"/>
      <c r="J33" s="142">
        <f>SUM(J27:J32)</f>
        <v>17291.700000000004</v>
      </c>
      <c r="K33" s="139"/>
    </row>
    <row r="34" spans="1:11" s="143" customFormat="1" ht="15" customHeight="1">
      <c r="A34" s="151"/>
      <c r="B34" s="152"/>
      <c r="C34" s="152"/>
      <c r="D34" s="153"/>
      <c r="E34" s="154"/>
      <c r="F34" s="155"/>
      <c r="G34" s="156"/>
      <c r="H34" s="157"/>
      <c r="I34" s="157"/>
      <c r="J34" s="158"/>
      <c r="K34" s="139"/>
    </row>
    <row r="35" spans="1:11" s="143" customFormat="1" ht="15" customHeight="1">
      <c r="A35" s="118">
        <v>5</v>
      </c>
      <c r="B35" s="119" t="s">
        <v>34</v>
      </c>
      <c r="C35" s="144"/>
      <c r="D35" s="145" t="s">
        <v>90</v>
      </c>
      <c r="E35" s="144"/>
      <c r="F35" s="146"/>
      <c r="G35" s="147"/>
      <c r="H35" s="147"/>
      <c r="I35" s="147"/>
      <c r="J35" s="148"/>
      <c r="K35" s="139"/>
    </row>
    <row r="36" spans="1:11" s="143" customFormat="1" ht="15" customHeight="1">
      <c r="A36" s="125" t="s">
        <v>137</v>
      </c>
      <c r="B36" s="126">
        <v>14</v>
      </c>
      <c r="C36" s="127" t="str">
        <f>VLOOKUP($B36,COMPOSIÇÃO!$A$10:$K$212,3,FALSE)</f>
        <v>COMPOSIÇÃO</v>
      </c>
      <c r="D36" s="256" t="str">
        <f>VLOOKUP($B36,COMPOSIÇÃO!$A$10:$K$212,4,FALSE)</f>
        <v xml:space="preserve">DISJUNTOR MONOPOLAR TIPO DIN, CORRENTE NOMINAL DE 2A -  FORNECIMENTO E INSTALAÇÃO. </v>
      </c>
      <c r="E36" s="126" t="str">
        <f>VLOOKUP($B36,COMPOSIÇÃO!$A$10:$K$212,5,FALSE)</f>
        <v>UN</v>
      </c>
      <c r="F36" s="129">
        <v>1</v>
      </c>
      <c r="G36" s="130">
        <f>VLOOKUP($B36,COMPOSIÇÃO!$A$10:$K$222,9,FALSE)</f>
        <v>7.1199999999999992</v>
      </c>
      <c r="H36" s="130">
        <f>VLOOKUP($B36,COMPOSIÇÃO!$A$10:$K$222,10,FALSE)</f>
        <v>1.24</v>
      </c>
      <c r="I36" s="130">
        <f t="shared" ref="I36:I42" si="14">H36+G36</f>
        <v>8.36</v>
      </c>
      <c r="J36" s="131">
        <f t="shared" ref="J36:J42" si="15">TRUNC((H36+G36)*F36,2)</f>
        <v>8.36</v>
      </c>
      <c r="K36" s="139"/>
    </row>
    <row r="37" spans="1:11" s="143" customFormat="1" ht="15" customHeight="1">
      <c r="A37" s="125" t="s">
        <v>138</v>
      </c>
      <c r="B37" s="126">
        <v>15</v>
      </c>
      <c r="C37" s="127" t="str">
        <f>VLOOKUP($B37,COMPOSIÇÃO!$A$10:$K$212,3,FALSE)</f>
        <v>93672</v>
      </c>
      <c r="D37" s="256" t="str">
        <f>VLOOKUP($B37,COMPOSIÇÃO!$A$10:$K$212,4,FALSE)</f>
        <v>DISJUNTOR TRIPOLAR TIPO DIN, CORRENTE NOMINAL DE 40A - FORNECIMENTO E INSTALAÇÃO. AF_04/2016</v>
      </c>
      <c r="E37" s="126" t="str">
        <f>VLOOKUP($B37,COMPOSIÇÃO!$A$10:$K$212,5,FALSE)</f>
        <v>UN</v>
      </c>
      <c r="F37" s="129">
        <v>1</v>
      </c>
      <c r="G37" s="130">
        <f>VLOOKUP($B37,COMPOSIÇÃO!$A$10:$K$222,9,FALSE)</f>
        <v>48.97</v>
      </c>
      <c r="H37" s="130">
        <f>VLOOKUP($B37,COMPOSIÇÃO!$A$10:$K$222,10,FALSE)</f>
        <v>14.469999999999999</v>
      </c>
      <c r="I37" s="130">
        <f t="shared" ref="I37" si="16">H37+G37</f>
        <v>63.44</v>
      </c>
      <c r="J37" s="131">
        <f t="shared" ref="J37" si="17">TRUNC((H37+G37)*F37,2)</f>
        <v>63.44</v>
      </c>
      <c r="K37" s="139"/>
    </row>
    <row r="38" spans="1:11" s="143" customFormat="1" ht="42" customHeight="1">
      <c r="A38" s="125" t="s">
        <v>139</v>
      </c>
      <c r="B38" s="126">
        <v>16</v>
      </c>
      <c r="C38" s="127" t="str">
        <f>VLOOKUP($B38,COMPOSIÇÃO!$A$10:$K$212,3,FALSE)</f>
        <v>83463</v>
      </c>
      <c r="D38" s="256" t="str">
        <f>VLOOKUP($B38,COMPOSIÇÃO!$A$10:$K$212,4,FALSE)</f>
        <v>QUADRO DE DISTRIBUICAO DE ENERGIA EM CHAPA DE ACO GALVANIZADO, PARA 12 DISJUNTORES TERMOMAGNETICOS MONOPOLARES, COM BARRAMENTO TRIFASICO E NEUTRO - FORNECIMENTO E INSTALACAO</v>
      </c>
      <c r="E38" s="126" t="str">
        <f>VLOOKUP($B38,COMPOSIÇÃO!$A$10:$K$212,5,FALSE)</f>
        <v>UN</v>
      </c>
      <c r="F38" s="129">
        <v>1</v>
      </c>
      <c r="G38" s="130">
        <f>VLOOKUP($B38,COMPOSIÇÃO!$A$10:$K$222,9,FALSE)</f>
        <v>240.69</v>
      </c>
      <c r="H38" s="130">
        <f>VLOOKUP($B38,COMPOSIÇÃO!$A$10:$K$222,10,FALSE)</f>
        <v>71.36</v>
      </c>
      <c r="I38" s="130">
        <f t="shared" ref="I38:I40" si="18">H38+G38</f>
        <v>312.05</v>
      </c>
      <c r="J38" s="131">
        <f t="shared" ref="J38:J40" si="19">TRUNC((H38+G38)*F38,2)</f>
        <v>312.05</v>
      </c>
      <c r="K38" s="139"/>
    </row>
    <row r="39" spans="1:11" s="143" customFormat="1" ht="15" customHeight="1">
      <c r="A39" s="125" t="s">
        <v>140</v>
      </c>
      <c r="B39" s="126">
        <v>17</v>
      </c>
      <c r="C39" s="127" t="str">
        <f>VLOOKUP($B39,COMPOSIÇÃO!$A$10:$K$212,3,FALSE)</f>
        <v>96985</v>
      </c>
      <c r="D39" s="256" t="str">
        <f>VLOOKUP($B39,COMPOSIÇÃO!$A$10:$K$212,4,FALSE)</f>
        <v>HASTE DE ATERRAMENTO 5/8  PARA SPDA - FORNECIMENTO E INSTALAÇÃO. AF_12/2017</v>
      </c>
      <c r="E39" s="126" t="str">
        <f>VLOOKUP($B39,COMPOSIÇÃO!$A$10:$K$212,5,FALSE)</f>
        <v>UN</v>
      </c>
      <c r="F39" s="129">
        <v>13</v>
      </c>
      <c r="G39" s="130">
        <f>VLOOKUP($B39,COMPOSIÇÃO!$A$10:$K$222,9,FALSE)</f>
        <v>5.0999999999999996</v>
      </c>
      <c r="H39" s="130">
        <f>VLOOKUP($B39,COMPOSIÇÃO!$A$10:$K$222,10,FALSE)</f>
        <v>34.799999999999997</v>
      </c>
      <c r="I39" s="130">
        <f t="shared" si="18"/>
        <v>39.9</v>
      </c>
      <c r="J39" s="131">
        <f t="shared" si="19"/>
        <v>518.70000000000005</v>
      </c>
      <c r="K39" s="139"/>
    </row>
    <row r="40" spans="1:11" s="143" customFormat="1" ht="15" customHeight="1">
      <c r="A40" s="125" t="s">
        <v>141</v>
      </c>
      <c r="B40" s="126">
        <v>18</v>
      </c>
      <c r="C40" s="127">
        <f>VLOOKUP($B40,COMPOSIÇÃO!$A$10:$K$212,3,FALSE)</f>
        <v>72344</v>
      </c>
      <c r="D40" s="256" t="str">
        <f>VLOOKUP($B40,COMPOSIÇÃO!$A$10:$K$212,4,FALSE)</f>
        <v>CONTATOR TRIPOLAR I NOMINAL 36A - FORNECIMENTO E INSTALACAO INCLUSIVE ELETROTÉCNICO</v>
      </c>
      <c r="E40" s="126" t="str">
        <f>VLOOKUP($B40,COMPOSIÇÃO!$A$10:$K$212,5,FALSE)</f>
        <v>UN</v>
      </c>
      <c r="F40" s="129">
        <v>1</v>
      </c>
      <c r="G40" s="130">
        <f>VLOOKUP($B40,COMPOSIÇÃO!$A$10:$K$222,9,FALSE)</f>
        <v>221.18</v>
      </c>
      <c r="H40" s="130">
        <f>VLOOKUP($B40,COMPOSIÇÃO!$A$10:$K$222,10,FALSE)</f>
        <v>145.69</v>
      </c>
      <c r="I40" s="130">
        <f t="shared" si="18"/>
        <v>366.87</v>
      </c>
      <c r="J40" s="131">
        <f t="shared" si="19"/>
        <v>366.87</v>
      </c>
      <c r="K40" s="139"/>
    </row>
    <row r="41" spans="1:11" s="143" customFormat="1" ht="15" customHeight="1">
      <c r="A41" s="125" t="s">
        <v>142</v>
      </c>
      <c r="B41" s="126">
        <v>19</v>
      </c>
      <c r="C41" s="127" t="str">
        <f>VLOOKUP($B41,COMPOSIÇÃO!$A$10:$K$212,3,FALSE)</f>
        <v xml:space="preserve">COMPOSIÇÃO </v>
      </c>
      <c r="D41" s="256" t="str">
        <f>VLOOKUP($B41,COMPOSIÇÃO!$A$10:$K$212,4,FALSE)</f>
        <v>FUSÍVEL TIPO NH 30A - TAMANHO 00 - FORNECIMENTO E INSTALACAO</v>
      </c>
      <c r="E41" s="126" t="str">
        <f>VLOOKUP($B41,COMPOSIÇÃO!$A$10:$K$212,5,FALSE)</f>
        <v>UN</v>
      </c>
      <c r="F41" s="129">
        <v>3</v>
      </c>
      <c r="G41" s="130">
        <f>VLOOKUP($B41,COMPOSIÇÃO!$A$10:$K$222,9,FALSE)</f>
        <v>7.98</v>
      </c>
      <c r="H41" s="130">
        <f>VLOOKUP($B41,COMPOSIÇÃO!$A$10:$K$222,10,FALSE)</f>
        <v>4.03</v>
      </c>
      <c r="I41" s="130">
        <f t="shared" ref="I41" si="20">H41+G41</f>
        <v>12.010000000000002</v>
      </c>
      <c r="J41" s="131">
        <f t="shared" ref="J41" si="21">TRUNC((H41+G41)*F41,2)</f>
        <v>36.03</v>
      </c>
      <c r="K41" s="139"/>
    </row>
    <row r="42" spans="1:11" s="143" customFormat="1" ht="15" customHeight="1">
      <c r="A42" s="125" t="s">
        <v>158</v>
      </c>
      <c r="B42" s="126">
        <v>20</v>
      </c>
      <c r="C42" s="127" t="str">
        <f>VLOOKUP($B42,COMPOSIÇÃO!$A$10:$K$212,3,FALSE)</f>
        <v>COMPOSIÇÃO</v>
      </c>
      <c r="D42" s="256" t="str">
        <f>VLOOKUP($B42,COMPOSIÇÃO!$A$10:$K$212,4,FALSE)</f>
        <v>BASE PARA FUSÍVEL TIPO NH - TAMANHO 00 - FORNECIMENTO E INSTALACAO</v>
      </c>
      <c r="E42" s="126" t="str">
        <f>VLOOKUP($B42,COMPOSIÇÃO!$A$10:$K$212,5,FALSE)</f>
        <v>UN</v>
      </c>
      <c r="F42" s="129">
        <v>3</v>
      </c>
      <c r="G42" s="130">
        <f>VLOOKUP($B42,COMPOSIÇÃO!$A$10:$K$222,9,FALSE)</f>
        <v>79.41</v>
      </c>
      <c r="H42" s="130">
        <f>VLOOKUP($B42,COMPOSIÇÃO!$A$10:$K$222,10,FALSE)</f>
        <v>17.829999999999998</v>
      </c>
      <c r="I42" s="130">
        <f t="shared" si="14"/>
        <v>97.24</v>
      </c>
      <c r="J42" s="131">
        <f t="shared" si="15"/>
        <v>291.72000000000003</v>
      </c>
      <c r="K42" s="139"/>
    </row>
    <row r="43" spans="1:11" s="143" customFormat="1" ht="30" customHeight="1">
      <c r="A43" s="125" t="s">
        <v>159</v>
      </c>
      <c r="B43" s="126">
        <v>21</v>
      </c>
      <c r="C43" s="127" t="str">
        <f>VLOOKUP($B43,COMPOSIÇÃO!$A$10:$K$212,3,FALSE)</f>
        <v>COMPOSIÇÃO</v>
      </c>
      <c r="D43" s="256" t="str">
        <f>VLOOKUP($B43,COMPOSIÇÃO!$A$10:$K$212,4,FALSE)</f>
        <v>RELE FOTOELETRICO P/ COMANDO DE ILUMINACAO EXTERNA 220V/1000W COM BASE - FORNECIMENTO E INSTALACAO</v>
      </c>
      <c r="E43" s="126" t="str">
        <f>VLOOKUP($B43,COMPOSIÇÃO!$A$10:$K$212,5,FALSE)</f>
        <v>UN</v>
      </c>
      <c r="F43" s="129">
        <v>1</v>
      </c>
      <c r="G43" s="130">
        <f>VLOOKUP($B43,COMPOSIÇÃO!$A$10:$K$222,9,FALSE)</f>
        <v>24.02</v>
      </c>
      <c r="H43" s="130">
        <f>VLOOKUP($B43,COMPOSIÇÃO!$A$10:$K$222,10,FALSE)</f>
        <v>12.52</v>
      </c>
      <c r="I43" s="130">
        <f t="shared" ref="I43" si="22">H43+G43</f>
        <v>36.54</v>
      </c>
      <c r="J43" s="131">
        <f t="shared" ref="J43" si="23">TRUNC((H43+G43)*F43,2)</f>
        <v>36.54</v>
      </c>
      <c r="K43" s="139"/>
    </row>
    <row r="44" spans="1:11" s="143" customFormat="1" ht="15" customHeight="1">
      <c r="A44" s="149"/>
      <c r="B44" s="134"/>
      <c r="C44" s="134"/>
      <c r="D44" s="135" t="s">
        <v>10</v>
      </c>
      <c r="E44" s="136"/>
      <c r="F44" s="137"/>
      <c r="G44" s="138"/>
      <c r="H44" s="150"/>
      <c r="I44" s="150"/>
      <c r="J44" s="142">
        <f>SUM(J36:J43)</f>
        <v>1633.71</v>
      </c>
      <c r="K44" s="139"/>
    </row>
    <row r="45" spans="1:11" s="143" customFormat="1" ht="15" customHeight="1">
      <c r="A45" s="151"/>
      <c r="B45" s="152"/>
      <c r="C45" s="152"/>
      <c r="D45" s="153"/>
      <c r="E45" s="154"/>
      <c r="F45" s="155"/>
      <c r="G45" s="156"/>
      <c r="H45" s="157"/>
      <c r="I45" s="157"/>
      <c r="J45" s="158"/>
      <c r="K45" s="139"/>
    </row>
    <row r="46" spans="1:11" s="143" customFormat="1" ht="15" customHeight="1">
      <c r="A46" s="118">
        <v>6</v>
      </c>
      <c r="B46" s="119" t="s">
        <v>34</v>
      </c>
      <c r="C46" s="144"/>
      <c r="D46" s="145" t="s">
        <v>188</v>
      </c>
      <c r="E46" s="144"/>
      <c r="F46" s="146"/>
      <c r="G46" s="147"/>
      <c r="H46" s="147"/>
      <c r="I46" s="147"/>
      <c r="J46" s="148"/>
      <c r="K46" s="139"/>
    </row>
    <row r="47" spans="1:11" s="143" customFormat="1" ht="30" customHeight="1">
      <c r="A47" s="125" t="s">
        <v>143</v>
      </c>
      <c r="B47" s="126">
        <v>22</v>
      </c>
      <c r="C47" s="127" t="str">
        <f>VLOOKUP($B47,COMPOSIÇÃO!$A$10:$K$212,3,FALSE)</f>
        <v>91926</v>
      </c>
      <c r="D47" s="256" t="str">
        <f>VLOOKUP($B47,COMPOSIÇÃO!$A$10:$K$212,4,FALSE)</f>
        <v>CABO DE COBRE FLEXÍVEL ISOLADO, 2,5 MM², ANTI-CHAMA 450/750 V, PARA CIRCUITOS TERMINAIS - FORNECIMENTO E INSTALAÇÃO. AF_12/2015</v>
      </c>
      <c r="E47" s="126" t="str">
        <f>VLOOKUP($B47,COMPOSIÇÃO!$A$10:$K$212,5,FALSE)</f>
        <v>M</v>
      </c>
      <c r="F47" s="129">
        <v>36</v>
      </c>
      <c r="G47" s="130">
        <f>VLOOKUP($B47,COMPOSIÇÃO!$A$10:$K$222,9,FALSE)</f>
        <v>1.46</v>
      </c>
      <c r="H47" s="130">
        <f>VLOOKUP($B47,COMPOSIÇÃO!$A$10:$K$222,10,FALSE)</f>
        <v>1.06</v>
      </c>
      <c r="I47" s="130">
        <f t="shared" ref="I47:I50" si="24">H47+G47</f>
        <v>2.52</v>
      </c>
      <c r="J47" s="131">
        <f t="shared" ref="J47:J50" si="25">TRUNC((H47+G47)*F47,2)</f>
        <v>90.72</v>
      </c>
      <c r="K47" s="139" t="s">
        <v>114</v>
      </c>
    </row>
    <row r="48" spans="1:11" s="143" customFormat="1" ht="30" customHeight="1">
      <c r="A48" s="125" t="s">
        <v>144</v>
      </c>
      <c r="B48" s="126">
        <v>23</v>
      </c>
      <c r="C48" s="127" t="str">
        <f>VLOOKUP($B48,COMPOSIÇÃO!$A$10:$K$212,3,FALSE)</f>
        <v>91929</v>
      </c>
      <c r="D48" s="256" t="str">
        <f>VLOOKUP($B48,COMPOSIÇÃO!$A$10:$K$212,4,FALSE)</f>
        <v>CABO DE COBRE FLEXÍVEL ISOLADO, 4 MM², ANTI-CHAMA 0,6/1,0 KV, PARA CIRCUITOS TERMINAIS - FORNECIMENTO E INSTALAÇÃO. AF_12/2015 (cor verde para aterramento)</v>
      </c>
      <c r="E48" s="126" t="str">
        <f>VLOOKUP($B48,COMPOSIÇÃO!$A$10:$K$212,5,FALSE)</f>
        <v>M</v>
      </c>
      <c r="F48" s="129">
        <v>1302</v>
      </c>
      <c r="G48" s="130">
        <f>VLOOKUP($B48,COMPOSIÇÃO!$A$10:$K$222,9,FALSE)</f>
        <v>3.0999999999999996</v>
      </c>
      <c r="H48" s="130">
        <f>VLOOKUP($B48,COMPOSIÇÃO!$A$10:$K$222,10,FALSE)</f>
        <v>1.42</v>
      </c>
      <c r="I48" s="130">
        <f t="shared" si="24"/>
        <v>4.5199999999999996</v>
      </c>
      <c r="J48" s="131">
        <f t="shared" si="25"/>
        <v>5885.04</v>
      </c>
      <c r="K48" s="139" t="s">
        <v>114</v>
      </c>
    </row>
    <row r="49" spans="1:11" s="143" customFormat="1" ht="30" customHeight="1">
      <c r="A49" s="125" t="s">
        <v>145</v>
      </c>
      <c r="B49" s="126">
        <v>24</v>
      </c>
      <c r="C49" s="127" t="str">
        <f>VLOOKUP($B49,COMPOSIÇÃO!$A$10:$K$212,3,FALSE)</f>
        <v>91931</v>
      </c>
      <c r="D49" s="256" t="str">
        <f>VLOOKUP($B49,COMPOSIÇÃO!$A$10:$K$212,4,FALSE)</f>
        <v>CABO DE COBRE FLEXÍVEL ISOLADO, 6 MM², ANTI-CHAMA 0,6/1,0 KV, PARA CIRCUITOS TERMINAIS - FORNECIMENTO E INSTALAÇÃO. AF_12/2015</v>
      </c>
      <c r="E49" s="126" t="str">
        <f>VLOOKUP($B49,COMPOSIÇÃO!$A$10:$K$212,5,FALSE)</f>
        <v>M</v>
      </c>
      <c r="F49" s="129">
        <v>800</v>
      </c>
      <c r="G49" s="130">
        <f>VLOOKUP($B49,COMPOSIÇÃO!$A$10:$K$222,9,FALSE)</f>
        <v>4.2300000000000004</v>
      </c>
      <c r="H49" s="130">
        <f>VLOOKUP($B49,COMPOSIÇÃO!$A$10:$K$222,10,FALSE)</f>
        <v>1.84</v>
      </c>
      <c r="I49" s="130">
        <f t="shared" si="24"/>
        <v>6.07</v>
      </c>
      <c r="J49" s="131">
        <f t="shared" si="25"/>
        <v>4856</v>
      </c>
      <c r="K49" s="139" t="s">
        <v>114</v>
      </c>
    </row>
    <row r="50" spans="1:11" s="143" customFormat="1" ht="30" customHeight="1">
      <c r="A50" s="125" t="s">
        <v>146</v>
      </c>
      <c r="B50" s="126">
        <v>25</v>
      </c>
      <c r="C50" s="127" t="str">
        <f>VLOOKUP($B50,COMPOSIÇÃO!$A$10:$K$212,3,FALSE)</f>
        <v>91933</v>
      </c>
      <c r="D50" s="256" t="str">
        <f>VLOOKUP($B50,COMPOSIÇÃO!$A$10:$K$212,4,FALSE)</f>
        <v>CABO DE COBRE FLEXÍVEL ISOLADO, 10 MM², ANTI-CHAMA 0,6/1,0 KV, PARA CIRCUITOS TERMINAIS - FORNECIMENTO E INSTALAÇÃO. AF_12/2015</v>
      </c>
      <c r="E50" s="126" t="str">
        <f>VLOOKUP($B50,COMPOSIÇÃO!$A$10:$K$212,5,FALSE)</f>
        <v>M</v>
      </c>
      <c r="F50" s="129">
        <v>660</v>
      </c>
      <c r="G50" s="130">
        <f>VLOOKUP($B50,COMPOSIÇÃO!$A$10:$K$222,9,FALSE)</f>
        <v>6.75</v>
      </c>
      <c r="H50" s="130">
        <f>VLOOKUP($B50,COMPOSIÇÃO!$A$10:$K$222,10,FALSE)</f>
        <v>2.74</v>
      </c>
      <c r="I50" s="130">
        <f t="shared" si="24"/>
        <v>9.49</v>
      </c>
      <c r="J50" s="131">
        <f t="shared" si="25"/>
        <v>6263.4</v>
      </c>
      <c r="K50" s="139" t="s">
        <v>114</v>
      </c>
    </row>
    <row r="51" spans="1:11" s="143" customFormat="1" ht="30" customHeight="1">
      <c r="A51" s="125" t="s">
        <v>171</v>
      </c>
      <c r="B51" s="126">
        <v>26</v>
      </c>
      <c r="C51" s="127">
        <f>VLOOKUP($B51,COMPOSIÇÃO!$A$10:$K$212,3,FALSE)</f>
        <v>92982</v>
      </c>
      <c r="D51" s="256" t="str">
        <f>VLOOKUP($B51,COMPOSIÇÃO!$A$10:$K$212,4,FALSE)</f>
        <v>CABO DE COBRE FLEXÍVEL ISOLADO, 16 MM², ANTI-CHAMA 0,6/1,0 KV, PARA CIRCUITOS TERMINAIS - FORNECIMENTO E INSTALAÇÃO. AF_12/2015</v>
      </c>
      <c r="E51" s="126" t="str">
        <f>VLOOKUP($B51,COMPOSIÇÃO!$A$10:$K$212,5,FALSE)</f>
        <v>M</v>
      </c>
      <c r="F51" s="129">
        <v>500</v>
      </c>
      <c r="G51" s="130">
        <f>VLOOKUP($B51,COMPOSIÇÃO!$A$10:$K$222,9,FALSE)</f>
        <v>8.93</v>
      </c>
      <c r="H51" s="130">
        <f>VLOOKUP($B51,COMPOSIÇÃO!$A$10:$K$222,10,FALSE)</f>
        <v>0.46</v>
      </c>
      <c r="I51" s="130">
        <f t="shared" ref="I51:I52" si="26">H51+G51</f>
        <v>9.39</v>
      </c>
      <c r="J51" s="131">
        <f t="shared" ref="J51:J52" si="27">TRUNC((H51+G51)*F51,2)</f>
        <v>4695</v>
      </c>
      <c r="K51" s="139"/>
    </row>
    <row r="52" spans="1:11" s="143" customFormat="1" ht="30" customHeight="1">
      <c r="A52" s="125" t="s">
        <v>172</v>
      </c>
      <c r="B52" s="126">
        <v>27</v>
      </c>
      <c r="C52" s="127">
        <f>VLOOKUP($B52,COMPOSIÇÃO!$A$10:$K$212,3,FALSE)</f>
        <v>92984</v>
      </c>
      <c r="D52" s="256" t="str">
        <f>VLOOKUP($B52,COMPOSIÇÃO!$A$10:$K$212,4,FALSE)</f>
        <v>CABO DE COBRE FLEXÍVEL ISOLADO, 25 MM², ANTI-CHAMA 0,6/1,0 KV, PARA CIRCUITOS TERMINAIS - FORNECIMENTO E INSTALAÇÃO. AF_12/2015</v>
      </c>
      <c r="E52" s="126" t="str">
        <f>VLOOKUP($B52,COMPOSIÇÃO!$A$10:$K$212,5,FALSE)</f>
        <v>M</v>
      </c>
      <c r="F52" s="129">
        <v>70</v>
      </c>
      <c r="G52" s="130">
        <f>VLOOKUP($B52,COMPOSIÇÃO!$A$10:$K$222,9,FALSE)</f>
        <v>13.42</v>
      </c>
      <c r="H52" s="130">
        <f>VLOOKUP($B52,COMPOSIÇÃO!$A$10:$K$222,10,FALSE)</f>
        <v>2.2800000000000002</v>
      </c>
      <c r="I52" s="130">
        <f t="shared" si="26"/>
        <v>15.7</v>
      </c>
      <c r="J52" s="131">
        <f t="shared" si="27"/>
        <v>1099</v>
      </c>
      <c r="K52" s="139"/>
    </row>
    <row r="53" spans="1:11" s="143" customFormat="1" ht="15" customHeight="1">
      <c r="A53" s="149"/>
      <c r="B53" s="134"/>
      <c r="C53" s="134"/>
      <c r="D53" s="135" t="s">
        <v>10</v>
      </c>
      <c r="E53" s="136"/>
      <c r="F53" s="137"/>
      <c r="G53" s="138"/>
      <c r="H53" s="150"/>
      <c r="I53" s="150"/>
      <c r="J53" s="142">
        <f>SUM(J47:J52)</f>
        <v>22889.16</v>
      </c>
      <c r="K53" s="139"/>
    </row>
    <row r="54" spans="1:11" s="143" customFormat="1" ht="15" customHeight="1">
      <c r="A54" s="151"/>
      <c r="B54" s="152"/>
      <c r="C54" s="152"/>
      <c r="D54" s="153"/>
      <c r="E54" s="154"/>
      <c r="F54" s="155"/>
      <c r="G54" s="156"/>
      <c r="H54" s="157"/>
      <c r="I54" s="157"/>
      <c r="J54" s="158"/>
      <c r="K54" s="139"/>
    </row>
    <row r="55" spans="1:11" s="143" customFormat="1" ht="15" customHeight="1">
      <c r="A55" s="118">
        <v>7</v>
      </c>
      <c r="B55" s="119" t="s">
        <v>34</v>
      </c>
      <c r="C55" s="144"/>
      <c r="D55" s="145" t="s">
        <v>194</v>
      </c>
      <c r="E55" s="144"/>
      <c r="F55" s="146"/>
      <c r="G55" s="147"/>
      <c r="H55" s="147"/>
      <c r="I55" s="147"/>
      <c r="J55" s="148"/>
      <c r="K55" s="139"/>
    </row>
    <row r="56" spans="1:11" s="143" customFormat="1" ht="30" customHeight="1">
      <c r="A56" s="125" t="s">
        <v>147</v>
      </c>
      <c r="B56" s="126">
        <v>28</v>
      </c>
      <c r="C56" s="127" t="str">
        <f>VLOOKUP($B56,COMPOSIÇÃO!$A$10:$K$222,3,FALSE)</f>
        <v>COMPOSIÇÃO</v>
      </c>
      <c r="D56" s="256" t="str">
        <f>VLOOKUP($B56,COMPOSIÇÃO!$A$10:$K$222,4,FALSE)</f>
        <v>POSTE CONCRETO SEÇÃO CIRCULAR COMPRIMENTO=15M  E CARGA NOMINAL 200KG INCLUSIVE ESCAVACAO EXCLUSIVE TRANSPORTE - FORNECIMENTO E COLOCAÇÃO</v>
      </c>
      <c r="E56" s="126" t="str">
        <f>VLOOKUP($B56,COMPOSIÇÃO!$A$10:$K$222,5,FALSE)</f>
        <v>UN</v>
      </c>
      <c r="F56" s="129">
        <v>12</v>
      </c>
      <c r="G56" s="130">
        <f>VLOOKUP($B56,COMPOSIÇÃO!$A$10:$K$222,9,FALSE)</f>
        <v>2319.4700000000003</v>
      </c>
      <c r="H56" s="130">
        <f>VLOOKUP($B56,COMPOSIÇÃO!$A$10:$K$222,10,FALSE)</f>
        <v>125.63</v>
      </c>
      <c r="I56" s="130">
        <f t="shared" ref="I56:I57" si="28">H56+G56</f>
        <v>2445.1000000000004</v>
      </c>
      <c r="J56" s="131">
        <f t="shared" ref="J56:J57" si="29">TRUNC((H56+G56)*F56,2)</f>
        <v>29341.200000000001</v>
      </c>
      <c r="K56" s="139"/>
    </row>
    <row r="57" spans="1:11" s="143" customFormat="1" ht="30" customHeight="1">
      <c r="A57" s="125" t="s">
        <v>148</v>
      </c>
      <c r="B57" s="126">
        <v>29</v>
      </c>
      <c r="C57" s="127" t="str">
        <f>VLOOKUP($B57,COMPOSIÇÃO!$A$10:$K$327,3,FALSE)</f>
        <v>COMPOSIÇÃO</v>
      </c>
      <c r="D57" s="256" t="str">
        <f>VLOOKUP($B57,COMPOSIÇÃO!$A$10:$K$327,4,FALSE)</f>
        <v>ENTRADA DE ENERGIA ELETRICA AEREA TRIFASICA 40A EM POSTE DE CONCRETO DUPLO T - FORNECIMENTO E IMPLANTAÇÃO</v>
      </c>
      <c r="E57" s="126" t="str">
        <f>VLOOKUP($B57,COMPOSIÇÃO!$A$10:$K$327,5,FALSE)</f>
        <v>UN</v>
      </c>
      <c r="F57" s="129">
        <v>1</v>
      </c>
      <c r="G57" s="130">
        <f>VLOOKUP($B57,COMPOSIÇÃO!$A$10:$K$327,9,FALSE)</f>
        <v>1756.99</v>
      </c>
      <c r="H57" s="130">
        <f>VLOOKUP($B57,COMPOSIÇÃO!$A$10:$K$327,10,FALSE)</f>
        <v>286.40000000000003</v>
      </c>
      <c r="I57" s="130">
        <f t="shared" si="28"/>
        <v>2043.39</v>
      </c>
      <c r="J57" s="131">
        <f t="shared" si="29"/>
        <v>2043.39</v>
      </c>
      <c r="K57" s="139"/>
    </row>
    <row r="58" spans="1:11" s="143" customFormat="1" ht="90" customHeight="1">
      <c r="A58" s="125" t="s">
        <v>294</v>
      </c>
      <c r="B58" s="126">
        <v>30</v>
      </c>
      <c r="C58" s="127" t="str">
        <f>VLOOKUP($B58,COMPOSIÇÃO!$A$10:$K$327,3,FALSE)</f>
        <v xml:space="preserve">COMPOSIÇÃO  </v>
      </c>
      <c r="D58" s="256" t="str">
        <f>VLOOKUP($B58,COMPOSIÇÃO!$A$10:$K$327,4,FALSE)</f>
        <v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58" s="126" t="str">
        <f>VLOOKUP($B58,COMPOSIÇÃO!$A$10:$K$327,5,FALSE)</f>
        <v>UN</v>
      </c>
      <c r="F58" s="129">
        <v>36</v>
      </c>
      <c r="G58" s="130">
        <f>VLOOKUP($B58,COMPOSIÇÃO!$A$10:$K$327,9,FALSE)</f>
        <v>1898.59</v>
      </c>
      <c r="H58" s="130">
        <f>VLOOKUP($B58,COMPOSIÇÃO!$A$10:$K$327,10,FALSE)</f>
        <v>35.800000000000004</v>
      </c>
      <c r="I58" s="130">
        <f t="shared" ref="I58" si="30">H58+G58</f>
        <v>1934.3899999999999</v>
      </c>
      <c r="J58" s="131">
        <f t="shared" ref="J58" si="31">TRUNC((H58+G58)*F58,2)</f>
        <v>69638.039999999994</v>
      </c>
      <c r="K58" s="139"/>
    </row>
    <row r="59" spans="1:11" s="143" customFormat="1" ht="30" customHeight="1">
      <c r="A59" s="125" t="s">
        <v>295</v>
      </c>
      <c r="B59" s="126">
        <v>31</v>
      </c>
      <c r="C59" s="127" t="str">
        <f>VLOOKUP($B59,COMPOSIÇÃO!$A$10:$K$327,3,FALSE)</f>
        <v>COMPOSIÇÃO</v>
      </c>
      <c r="D59" s="256" t="str">
        <f>VLOOKUP($B59,COMPOSIÇÃO!$A$10:$K$327,4,FALSE)</f>
        <v>SUPORTE DE 3 PÉTALAS PARA INSTALAÇÃO DE LUMINÁRIAS EM TOPO DE POSTE DE CONCRETO DIANMETRO = 114,30MM - FORNECIMENTO E INSTALAÇÃO</v>
      </c>
      <c r="E59" s="126" t="str">
        <f>VLOOKUP($B59,COMPOSIÇÃO!$A$10:$K$327,5,FALSE)</f>
        <v>UN.</v>
      </c>
      <c r="F59" s="129">
        <v>12</v>
      </c>
      <c r="G59" s="130">
        <f>VLOOKUP($B59,COMPOSIÇÃO!$A$10:$K$327,9,FALSE)</f>
        <v>269.92</v>
      </c>
      <c r="H59" s="130">
        <f>VLOOKUP($B59,COMPOSIÇÃO!$A$10:$K$327,10,FALSE)</f>
        <v>7.1300000000000008</v>
      </c>
      <c r="I59" s="130">
        <f t="shared" ref="I59" si="32">H59+G59</f>
        <v>277.05</v>
      </c>
      <c r="J59" s="131">
        <f t="shared" ref="J59" si="33">TRUNC((H59+G59)*F59,2)</f>
        <v>3324.6</v>
      </c>
      <c r="K59" s="139"/>
    </row>
    <row r="60" spans="1:11" s="143" customFormat="1" ht="15" customHeight="1">
      <c r="A60" s="149"/>
      <c r="B60" s="134"/>
      <c r="C60" s="134"/>
      <c r="D60" s="135" t="s">
        <v>10</v>
      </c>
      <c r="E60" s="136"/>
      <c r="F60" s="137"/>
      <c r="G60" s="138"/>
      <c r="H60" s="150"/>
      <c r="I60" s="150"/>
      <c r="J60" s="142">
        <f>SUM(J56:J59)</f>
        <v>104347.23</v>
      </c>
      <c r="K60" s="139"/>
    </row>
    <row r="61" spans="1:11" s="143" customFormat="1" ht="15" customHeight="1">
      <c r="A61" s="151"/>
      <c r="B61" s="152"/>
      <c r="C61" s="152"/>
      <c r="D61" s="153"/>
      <c r="E61" s="154"/>
      <c r="F61" s="155"/>
      <c r="G61" s="156"/>
      <c r="H61" s="157"/>
      <c r="I61" s="157"/>
      <c r="J61" s="158"/>
      <c r="K61" s="139"/>
    </row>
    <row r="62" spans="1:11" s="143" customFormat="1" ht="15" customHeight="1">
      <c r="A62" s="118">
        <v>8</v>
      </c>
      <c r="B62" s="119" t="s">
        <v>34</v>
      </c>
      <c r="C62" s="144"/>
      <c r="D62" s="145" t="s">
        <v>104</v>
      </c>
      <c r="E62" s="144"/>
      <c r="F62" s="146"/>
      <c r="G62" s="147"/>
      <c r="H62" s="147"/>
      <c r="I62" s="147"/>
      <c r="J62" s="148"/>
      <c r="K62" s="139"/>
    </row>
    <row r="63" spans="1:11" s="143" customFormat="1" ht="15" customHeight="1">
      <c r="A63" s="125" t="s">
        <v>109</v>
      </c>
      <c r="B63" s="126">
        <v>32</v>
      </c>
      <c r="C63" s="127">
        <f>VLOOKUP($B63,COMPOSIÇÃO!$A$10:$K$327,3,FALSE)</f>
        <v>72271</v>
      </c>
      <c r="D63" s="256" t="str">
        <f>VLOOKUP($B63,COMPOSIÇÃO!$A$10:$K$327,4,FALSE)</f>
        <v>CONECTOR PARAFUSO FENDIDO SPLIT-BOLT - PARA CABO DE 16MM2 - FORNECIMENTO E INSTALAÇÃO</v>
      </c>
      <c r="E63" s="126" t="str">
        <f>VLOOKUP($B63,COMPOSIÇÃO!$A$10:$K$327,5,FALSE)</f>
        <v>UN.</v>
      </c>
      <c r="F63" s="129">
        <v>36</v>
      </c>
      <c r="G63" s="130">
        <f>VLOOKUP($B63,COMPOSIÇÃO!$A$10:$K$222,9,FALSE)</f>
        <v>4</v>
      </c>
      <c r="H63" s="130">
        <f>VLOOKUP($B63,COMPOSIÇÃO!$A$10:$K$222,10,FALSE)</f>
        <v>7.1300000000000008</v>
      </c>
      <c r="I63" s="130">
        <f t="shared" ref="I63" si="34">H63+G63</f>
        <v>11.13</v>
      </c>
      <c r="J63" s="131">
        <f t="shared" ref="J63" si="35">TRUNC((H63+G63)*F63,2)</f>
        <v>400.68</v>
      </c>
      <c r="K63" s="139">
        <f>37*3</f>
        <v>111</v>
      </c>
    </row>
    <row r="64" spans="1:11" s="143" customFormat="1" ht="15" customHeight="1">
      <c r="A64" s="125" t="s">
        <v>110</v>
      </c>
      <c r="B64" s="126">
        <v>33</v>
      </c>
      <c r="C64" s="127">
        <f>VLOOKUP($B64,COMPOSIÇÃO!$A$10:$K$327,3,FALSE)</f>
        <v>72272</v>
      </c>
      <c r="D64" s="256" t="str">
        <f>VLOOKUP($B64,COMPOSIÇÃO!$A$10:$K$327,4,FALSE)</f>
        <v>CONECTOR PARAFUSO FENDIDO SPLIT-BOLT - PARA CABO DE 35MM2 - FORNECIMENTO E INSTALAÇÃO</v>
      </c>
      <c r="E64" s="126" t="str">
        <f>VLOOKUP($B64,COMPOSIÇÃO!$A$10:$K$327,5,FALSE)</f>
        <v>UN.</v>
      </c>
      <c r="F64" s="129">
        <v>6</v>
      </c>
      <c r="G64" s="130">
        <f>VLOOKUP($B64,COMPOSIÇÃO!$A$10:$K$222,9,FALSE)</f>
        <v>5.28</v>
      </c>
      <c r="H64" s="130">
        <f>VLOOKUP($B64,COMPOSIÇÃO!$A$10:$K$222,10,FALSE)</f>
        <v>7.1300000000000008</v>
      </c>
      <c r="I64" s="130">
        <f t="shared" ref="I64:I66" si="36">H64+G64</f>
        <v>12.41</v>
      </c>
      <c r="J64" s="131">
        <f t="shared" ref="J64:J66" si="37">TRUNC((H64+G64)*F64,2)</f>
        <v>74.459999999999994</v>
      </c>
      <c r="K64" s="139"/>
    </row>
    <row r="65" spans="1:12" s="143" customFormat="1" ht="15" customHeight="1">
      <c r="A65" s="125" t="s">
        <v>296</v>
      </c>
      <c r="B65" s="126">
        <v>34</v>
      </c>
      <c r="C65" s="127">
        <f>VLOOKUP($B65,COMPOSIÇÃO!$A$10:$K$327,3,FALSE)</f>
        <v>72259</v>
      </c>
      <c r="D65" s="256" t="str">
        <f>VLOOKUP($B65,COMPOSIÇÃO!$A$10:$K$327,4,FALSE)</f>
        <v>TERMINAL OU CONECTOR DE PRESSAO - PARA CABO 10MM2 - FORNECIMENTO E INSTALACAO</v>
      </c>
      <c r="E65" s="126" t="str">
        <f>VLOOKUP($B65,COMPOSIÇÃO!$A$10:$K$327,5,FALSE)</f>
        <v>UN.</v>
      </c>
      <c r="F65" s="129">
        <v>6</v>
      </c>
      <c r="G65" s="130">
        <f>VLOOKUP($B65,COMPOSIÇÃO!$A$10:$K$327,9,FALSE)</f>
        <v>2.85</v>
      </c>
      <c r="H65" s="130">
        <f>VLOOKUP($B65,COMPOSIÇÃO!$A$10:$K$327,10,FALSE)</f>
        <v>10.7</v>
      </c>
      <c r="I65" s="130">
        <f t="shared" si="36"/>
        <v>13.549999999999999</v>
      </c>
      <c r="J65" s="131">
        <f t="shared" si="37"/>
        <v>81.3</v>
      </c>
      <c r="K65" s="139"/>
    </row>
    <row r="66" spans="1:12" s="143" customFormat="1" ht="15" customHeight="1">
      <c r="A66" s="125" t="s">
        <v>179</v>
      </c>
      <c r="B66" s="126">
        <v>35</v>
      </c>
      <c r="C66" s="127">
        <f>VLOOKUP($B66,COMPOSIÇÃO!$A$10:$K$327,3,FALSE)</f>
        <v>72260</v>
      </c>
      <c r="D66" s="256" t="str">
        <f>VLOOKUP($B66,COMPOSIÇÃO!$A$10:$K$327,4,FALSE)</f>
        <v>TERMINAL OU CONECTOR DE PRESSAO - PARA CABO 16MM2 - FORNECIMENTO E INSTALACAO</v>
      </c>
      <c r="E66" s="126" t="str">
        <f>VLOOKUP($B66,COMPOSIÇÃO!$A$10:$K$327,5,FALSE)</f>
        <v>UN.</v>
      </c>
      <c r="F66" s="129">
        <v>30</v>
      </c>
      <c r="G66" s="130">
        <f>VLOOKUP($B66,COMPOSIÇÃO!$A$10:$K$327,9,FALSE)</f>
        <v>2.79</v>
      </c>
      <c r="H66" s="130">
        <f>VLOOKUP($B66,COMPOSIÇÃO!$A$10:$K$327,10,FALSE)</f>
        <v>10.7</v>
      </c>
      <c r="I66" s="130">
        <f t="shared" si="36"/>
        <v>13.489999999999998</v>
      </c>
      <c r="J66" s="131">
        <f t="shared" si="37"/>
        <v>404.7</v>
      </c>
      <c r="K66" s="139"/>
    </row>
    <row r="67" spans="1:12" s="143" customFormat="1" ht="15" customHeight="1">
      <c r="A67" s="149"/>
      <c r="B67" s="134"/>
      <c r="C67" s="134"/>
      <c r="D67" s="135" t="s">
        <v>10</v>
      </c>
      <c r="E67" s="136"/>
      <c r="F67" s="137"/>
      <c r="G67" s="138"/>
      <c r="H67" s="150"/>
      <c r="I67" s="150"/>
      <c r="J67" s="142">
        <f>SUM(J63:J66)</f>
        <v>961.13999999999987</v>
      </c>
      <c r="K67" s="139">
        <f>J67+J60+J53+J44++J33+J24+J19</f>
        <v>178256.02</v>
      </c>
      <c r="L67" s="143" t="e">
        <f>K67/#REF!</f>
        <v>#REF!</v>
      </c>
    </row>
    <row r="68" spans="1:12" s="143" customFormat="1" ht="15" customHeight="1">
      <c r="A68" s="149"/>
      <c r="B68" s="134"/>
      <c r="C68" s="134"/>
      <c r="D68" s="135"/>
      <c r="E68" s="136"/>
      <c r="F68" s="137"/>
      <c r="G68" s="138"/>
      <c r="H68" s="150"/>
      <c r="I68" s="150"/>
      <c r="J68" s="142"/>
      <c r="K68" s="139">
        <f>K67*0.6</f>
        <v>106953.61199999999</v>
      </c>
    </row>
    <row r="69" spans="1:12" s="143" customFormat="1" ht="15" customHeight="1">
      <c r="A69" s="160"/>
      <c r="B69" s="161"/>
      <c r="C69" s="162"/>
      <c r="D69" s="380" t="s">
        <v>49</v>
      </c>
      <c r="E69" s="380"/>
      <c r="F69" s="380"/>
      <c r="G69" s="163"/>
      <c r="H69" s="163"/>
      <c r="I69" s="163"/>
      <c r="J69" s="164">
        <f>TRUNC((J14+J19+J24+J33+J44+J53+J60+J67),3)</f>
        <v>180657.42</v>
      </c>
      <c r="K69" s="139"/>
    </row>
    <row r="70" spans="1:12" ht="15" customHeight="1">
      <c r="A70" s="160"/>
      <c r="B70" s="161"/>
      <c r="C70" s="162"/>
      <c r="D70" s="380" t="s">
        <v>288</v>
      </c>
      <c r="E70" s="380"/>
      <c r="F70" s="380"/>
      <c r="G70" s="165"/>
      <c r="H70" s="166">
        <f>BDI!E46</f>
        <v>0.249</v>
      </c>
      <c r="I70" s="166"/>
      <c r="J70" s="167">
        <f>J69*H70</f>
        <v>44983.69758</v>
      </c>
      <c r="K70" s="139"/>
    </row>
    <row r="71" spans="1:12" ht="15" customHeight="1">
      <c r="A71" s="168"/>
      <c r="B71" s="169"/>
      <c r="C71" s="170"/>
      <c r="D71" s="370" t="s">
        <v>50</v>
      </c>
      <c r="E71" s="370"/>
      <c r="F71" s="370"/>
      <c r="G71" s="170"/>
      <c r="H71" s="171"/>
      <c r="I71" s="171"/>
      <c r="J71" s="172">
        <f>TRUNC((J70+J69),3)</f>
        <v>225641.117</v>
      </c>
      <c r="K71" s="139">
        <v>2205473.87</v>
      </c>
      <c r="L71" s="141">
        <f>J71-K71</f>
        <v>-1979832.753</v>
      </c>
    </row>
    <row r="72" spans="1:12" ht="15" customHeight="1">
      <c r="K72" s="139"/>
    </row>
    <row r="73" spans="1:12" ht="15" customHeight="1">
      <c r="K73" s="139"/>
    </row>
    <row r="74" spans="1:12" ht="15" customHeight="1">
      <c r="K74" s="139">
        <f>K71/J71</f>
        <v>9.774255239128248</v>
      </c>
    </row>
    <row r="75" spans="1:12" ht="15" customHeight="1">
      <c r="K75" s="139"/>
    </row>
    <row r="76" spans="1:12" ht="15" customHeight="1">
      <c r="K76" s="139"/>
    </row>
    <row r="77" spans="1:12" ht="15" customHeight="1">
      <c r="K77" s="139"/>
    </row>
    <row r="78" spans="1:12" ht="15" customHeight="1">
      <c r="K78" s="139"/>
    </row>
    <row r="79" spans="1:12" ht="15" customHeight="1">
      <c r="K79" s="139"/>
    </row>
    <row r="80" spans="1:12" ht="15" customHeight="1">
      <c r="K80" s="139"/>
    </row>
    <row r="81" spans="11:11" ht="15" customHeight="1">
      <c r="K81" s="139"/>
    </row>
    <row r="82" spans="11:11" ht="15" customHeight="1">
      <c r="K82" s="139"/>
    </row>
    <row r="83" spans="11:11" ht="15" customHeight="1">
      <c r="K83" s="139"/>
    </row>
    <row r="84" spans="11:11" ht="15" customHeight="1">
      <c r="K84" s="139"/>
    </row>
    <row r="85" spans="11:11" ht="15" customHeight="1">
      <c r="K85" s="139"/>
    </row>
    <row r="86" spans="11:11" ht="15" customHeight="1">
      <c r="K86" s="139"/>
    </row>
    <row r="87" spans="11:11" ht="15" customHeight="1">
      <c r="K87" s="139"/>
    </row>
    <row r="88" spans="11:11" ht="15" customHeight="1">
      <c r="K88" s="139"/>
    </row>
    <row r="89" spans="11:11" ht="15" customHeight="1">
      <c r="K89" s="139"/>
    </row>
    <row r="90" spans="11:11" ht="15" customHeight="1">
      <c r="K90" s="139"/>
    </row>
    <row r="91" spans="11:11" ht="15" customHeight="1">
      <c r="K91" s="139"/>
    </row>
    <row r="92" spans="11:11" ht="15" customHeight="1">
      <c r="K92" s="139"/>
    </row>
    <row r="93" spans="11:11" ht="15" customHeight="1">
      <c r="K93" s="139"/>
    </row>
    <row r="94" spans="11:11" ht="15" customHeight="1">
      <c r="K94" s="139"/>
    </row>
    <row r="95" spans="11:11" ht="15" customHeight="1">
      <c r="K95" s="139"/>
    </row>
    <row r="96" spans="11:11" ht="15" customHeight="1">
      <c r="K96" s="139"/>
    </row>
    <row r="97" spans="11:11" ht="15" customHeight="1">
      <c r="K97" s="139"/>
    </row>
    <row r="98" spans="11:11" ht="15" customHeight="1">
      <c r="K98" s="139"/>
    </row>
    <row r="99" spans="11:11" ht="15" customHeight="1">
      <c r="K99" s="139"/>
    </row>
  </sheetData>
  <mergeCells count="6">
    <mergeCell ref="D71:F71"/>
    <mergeCell ref="B1:J1"/>
    <mergeCell ref="G7:I7"/>
    <mergeCell ref="A7:F7"/>
    <mergeCell ref="D69:F69"/>
    <mergeCell ref="D70:F70"/>
  </mergeCells>
  <printOptions horizontalCentered="1" gridLines="1"/>
  <pageMargins left="0.98425196850393704" right="1.7716535433070868" top="0.98425196850393704" bottom="0.78740157480314965" header="0.31496062992125984" footer="0.31496062992125984"/>
  <pageSetup paperSize="9" scale="63" fitToWidth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2"/>
  <sheetViews>
    <sheetView topLeftCell="A162" zoomScaleNormal="100" workbookViewId="0">
      <selection activeCell="D169" sqref="D169"/>
    </sheetView>
  </sheetViews>
  <sheetFormatPr defaultColWidth="9.140625" defaultRowHeight="12.75" outlineLevelRow="2"/>
  <cols>
    <col min="1" max="1" width="6.28515625" style="58" customWidth="1"/>
    <col min="2" max="2" width="14.42578125" style="11" customWidth="1"/>
    <col min="3" max="3" width="13.85546875" style="59" customWidth="1"/>
    <col min="4" max="4" width="67.7109375" style="96" customWidth="1"/>
    <col min="5" max="5" width="8.7109375" style="11" customWidth="1"/>
    <col min="6" max="6" width="8.85546875" style="60" customWidth="1"/>
    <col min="7" max="7" width="10.42578125" style="43" bestFit="1" customWidth="1"/>
    <col min="8" max="8" width="7.28515625" style="61" hidden="1" customWidth="1"/>
    <col min="9" max="9" width="12.140625" style="61" bestFit="1" customWidth="1"/>
    <col min="10" max="10" width="12.7109375" style="62" customWidth="1"/>
    <col min="11" max="11" width="9.5703125" style="62" customWidth="1"/>
    <col min="12" max="12" width="14.7109375" style="11" customWidth="1"/>
    <col min="13" max="13" width="12.7109375" style="11" bestFit="1" customWidth="1"/>
    <col min="14" max="14" width="10.42578125" style="11" bestFit="1" customWidth="1"/>
    <col min="15" max="16384" width="9.140625" style="11"/>
  </cols>
  <sheetData>
    <row r="1" spans="1:12">
      <c r="A1" s="3"/>
      <c r="B1" s="4"/>
      <c r="C1" s="5"/>
      <c r="D1" s="90"/>
      <c r="E1" s="4"/>
      <c r="F1" s="6"/>
      <c r="G1" s="7"/>
      <c r="H1" s="8"/>
      <c r="I1" s="8"/>
      <c r="J1" s="9"/>
      <c r="K1" s="10"/>
    </row>
    <row r="2" spans="1:12">
      <c r="A2" s="12" t="s">
        <v>227</v>
      </c>
      <c r="B2" s="13"/>
      <c r="C2" s="14"/>
      <c r="D2" s="91"/>
      <c r="E2" s="14"/>
      <c r="F2" s="15"/>
      <c r="G2" s="16"/>
      <c r="H2" s="17"/>
      <c r="I2" s="17"/>
      <c r="J2" s="14"/>
      <c r="K2" s="18"/>
    </row>
    <row r="3" spans="1:12">
      <c r="A3" s="12" t="s">
        <v>228</v>
      </c>
      <c r="B3" s="1"/>
      <c r="C3" s="1"/>
      <c r="D3" s="92"/>
      <c r="E3" s="1"/>
      <c r="F3" s="19"/>
      <c r="G3" s="20"/>
      <c r="H3" s="21"/>
      <c r="I3" s="21"/>
      <c r="J3" s="1"/>
      <c r="K3" s="22"/>
    </row>
    <row r="4" spans="1:12">
      <c r="A4" s="23" t="s">
        <v>193</v>
      </c>
      <c r="B4" s="13"/>
      <c r="C4" s="1"/>
      <c r="D4" s="92"/>
      <c r="E4" s="1"/>
      <c r="F4" s="19"/>
      <c r="G4" s="20"/>
      <c r="H4" s="21"/>
      <c r="I4" s="21"/>
      <c r="J4" s="1"/>
      <c r="K4" s="22"/>
    </row>
    <row r="5" spans="1:12">
      <c r="A5" s="24"/>
      <c r="B5" s="13"/>
      <c r="C5" s="1"/>
      <c r="D5" s="92"/>
      <c r="E5" s="25"/>
      <c r="F5" s="26"/>
      <c r="G5" s="27"/>
      <c r="H5" s="28"/>
      <c r="I5" s="28"/>
      <c r="J5" s="29"/>
      <c r="K5" s="30"/>
    </row>
    <row r="6" spans="1:12" ht="18.75">
      <c r="A6" s="381" t="s">
        <v>59</v>
      </c>
      <c r="B6" s="382"/>
      <c r="C6" s="382"/>
      <c r="D6" s="382"/>
      <c r="E6" s="382"/>
      <c r="F6" s="382"/>
      <c r="G6" s="382"/>
      <c r="H6" s="382"/>
      <c r="I6" s="382"/>
      <c r="J6" s="382"/>
      <c r="K6" s="383"/>
    </row>
    <row r="7" spans="1:12" ht="13.5" thickBot="1">
      <c r="A7" s="31"/>
      <c r="B7" s="32"/>
      <c r="C7" s="33"/>
      <c r="D7" s="93"/>
      <c r="E7" s="396" t="s">
        <v>336</v>
      </c>
      <c r="F7" s="396"/>
      <c r="G7" s="396"/>
      <c r="H7" s="396"/>
      <c r="I7" s="396"/>
      <c r="J7" s="396"/>
      <c r="K7" s="397"/>
    </row>
    <row r="8" spans="1:12">
      <c r="A8" s="384" t="s">
        <v>4</v>
      </c>
      <c r="B8" s="384" t="s">
        <v>51</v>
      </c>
      <c r="C8" s="392" t="s">
        <v>52</v>
      </c>
      <c r="D8" s="384" t="s">
        <v>53</v>
      </c>
      <c r="E8" s="384" t="s">
        <v>54</v>
      </c>
      <c r="F8" s="394" t="s">
        <v>55</v>
      </c>
      <c r="G8" s="388" t="s">
        <v>166</v>
      </c>
      <c r="H8" s="386" t="s">
        <v>56</v>
      </c>
      <c r="I8" s="386" t="s">
        <v>57</v>
      </c>
      <c r="J8" s="388" t="s">
        <v>58</v>
      </c>
      <c r="K8" s="390" t="s">
        <v>7</v>
      </c>
    </row>
    <row r="9" spans="1:12">
      <c r="A9" s="385"/>
      <c r="B9" s="385"/>
      <c r="C9" s="393"/>
      <c r="D9" s="385"/>
      <c r="E9" s="385"/>
      <c r="F9" s="395"/>
      <c r="G9" s="389"/>
      <c r="H9" s="387"/>
      <c r="I9" s="387"/>
      <c r="J9" s="389"/>
      <c r="K9" s="391"/>
    </row>
    <row r="10" spans="1:12">
      <c r="A10" s="34">
        <v>1</v>
      </c>
      <c r="B10" s="35" t="s">
        <v>107</v>
      </c>
      <c r="C10" s="36" t="s">
        <v>29</v>
      </c>
      <c r="D10" s="88" t="s">
        <v>33</v>
      </c>
      <c r="E10" s="35" t="s">
        <v>19</v>
      </c>
      <c r="F10" s="37" t="s">
        <v>20</v>
      </c>
      <c r="G10" s="38"/>
      <c r="H10" s="39"/>
      <c r="I10" s="39">
        <f>SUM(I11)</f>
        <v>0</v>
      </c>
      <c r="J10" s="40">
        <f>SUM(J11)</f>
        <v>218.54</v>
      </c>
      <c r="K10" s="40">
        <f>TRUNC((J10+I10),2)</f>
        <v>218.54</v>
      </c>
    </row>
    <row r="11" spans="1:12" ht="25.5" outlineLevel="1">
      <c r="A11" s="41"/>
      <c r="B11" s="35" t="s">
        <v>186</v>
      </c>
      <c r="C11" s="36" t="s">
        <v>29</v>
      </c>
      <c r="D11" s="88" t="s">
        <v>44</v>
      </c>
      <c r="E11" s="71" t="s">
        <v>19</v>
      </c>
      <c r="F11" s="37">
        <v>1</v>
      </c>
      <c r="G11" s="38">
        <v>218.54</v>
      </c>
      <c r="H11" s="39"/>
      <c r="I11" s="39">
        <v>0</v>
      </c>
      <c r="J11" s="40">
        <f>TRUNC((G11*F11),2)</f>
        <v>218.54</v>
      </c>
      <c r="K11" s="40"/>
    </row>
    <row r="12" spans="1:12" outlineLevel="1">
      <c r="A12" s="247"/>
      <c r="B12" s="45"/>
      <c r="C12" s="46" t="s">
        <v>297</v>
      </c>
      <c r="D12" s="355" t="s">
        <v>305</v>
      </c>
      <c r="E12" s="64"/>
      <c r="F12" s="47"/>
      <c r="G12" s="48"/>
      <c r="H12" s="49"/>
      <c r="I12" s="49"/>
      <c r="J12" s="50"/>
      <c r="K12" s="50"/>
    </row>
    <row r="13" spans="1:12" outlineLevel="1">
      <c r="A13" s="242"/>
      <c r="B13" s="45"/>
      <c r="C13" s="46"/>
      <c r="D13" s="94"/>
      <c r="E13" s="45"/>
      <c r="F13" s="47"/>
      <c r="G13" s="48"/>
      <c r="H13" s="49"/>
      <c r="I13" s="49"/>
      <c r="J13" s="50"/>
      <c r="K13" s="50"/>
    </row>
    <row r="14" spans="1:12" ht="25.5">
      <c r="A14" s="34">
        <v>2</v>
      </c>
      <c r="B14" s="35" t="s">
        <v>18</v>
      </c>
      <c r="C14" s="36" t="s">
        <v>92</v>
      </c>
      <c r="D14" s="88" t="s">
        <v>28</v>
      </c>
      <c r="E14" s="35" t="s">
        <v>19</v>
      </c>
      <c r="F14" s="37"/>
      <c r="G14" s="38"/>
      <c r="H14" s="39"/>
      <c r="I14" s="39">
        <f>SUM(I15:I16)</f>
        <v>137.91</v>
      </c>
      <c r="J14" s="40">
        <f>SUM(J15:J16)</f>
        <v>15.51</v>
      </c>
      <c r="K14" s="40">
        <f>TRUNC((J14+I14),2)</f>
        <v>153.41999999999999</v>
      </c>
    </row>
    <row r="15" spans="1:12" ht="51" outlineLevel="1">
      <c r="A15" s="42"/>
      <c r="B15" s="35" t="s">
        <v>21</v>
      </c>
      <c r="C15" s="36">
        <v>93402</v>
      </c>
      <c r="D15" s="89" t="s">
        <v>127</v>
      </c>
      <c r="E15" s="35" t="s">
        <v>22</v>
      </c>
      <c r="F15" s="37">
        <v>1</v>
      </c>
      <c r="G15" s="38">
        <v>137.91</v>
      </c>
      <c r="H15" s="39"/>
      <c r="I15" s="39">
        <f>TRUNC((G15*F15),2)</f>
        <v>137.91</v>
      </c>
      <c r="J15" s="40"/>
      <c r="K15" s="40"/>
      <c r="L15" s="62"/>
    </row>
    <row r="16" spans="1:12" outlineLevel="1">
      <c r="A16" s="42"/>
      <c r="B16" s="35" t="s">
        <v>21</v>
      </c>
      <c r="C16" s="36">
        <v>88247</v>
      </c>
      <c r="D16" s="88" t="s">
        <v>24</v>
      </c>
      <c r="E16" s="35" t="s">
        <v>17</v>
      </c>
      <c r="F16" s="37">
        <v>1</v>
      </c>
      <c r="G16" s="38">
        <v>15.51</v>
      </c>
      <c r="H16" s="39"/>
      <c r="I16" s="39">
        <v>0</v>
      </c>
      <c r="J16" s="40">
        <f>TRUNC((G16*F16),2)</f>
        <v>15.51</v>
      </c>
      <c r="K16" s="40"/>
    </row>
    <row r="17" spans="1:12" outlineLevel="1">
      <c r="A17" s="44"/>
      <c r="B17" s="45"/>
      <c r="C17" s="46"/>
      <c r="D17" s="94"/>
      <c r="E17" s="45"/>
      <c r="F17" s="47"/>
      <c r="G17" s="48"/>
      <c r="H17" s="49"/>
      <c r="I17" s="49"/>
      <c r="J17" s="50"/>
      <c r="K17" s="50"/>
    </row>
    <row r="18" spans="1:12" outlineLevel="1">
      <c r="A18" s="34">
        <v>3</v>
      </c>
      <c r="B18" s="35" t="s">
        <v>75</v>
      </c>
      <c r="C18" s="35" t="s">
        <v>126</v>
      </c>
      <c r="D18" s="88" t="s">
        <v>76</v>
      </c>
      <c r="E18" s="35" t="s">
        <v>74</v>
      </c>
      <c r="F18" s="37" t="s">
        <v>20</v>
      </c>
      <c r="G18" s="38"/>
      <c r="H18" s="39"/>
      <c r="I18" s="39">
        <f>SUM(I19:I25)</f>
        <v>523.6</v>
      </c>
      <c r="J18" s="40">
        <f>SUM(J19:J25)</f>
        <v>50.6</v>
      </c>
      <c r="K18" s="40">
        <f>TRUNC((J18+I18),2)</f>
        <v>574.20000000000005</v>
      </c>
      <c r="L18" s="11">
        <v>574.20000000000005</v>
      </c>
    </row>
    <row r="19" spans="1:12" outlineLevel="1">
      <c r="A19" s="44"/>
      <c r="B19" s="35" t="s">
        <v>21</v>
      </c>
      <c r="C19" s="35" t="s">
        <v>69</v>
      </c>
      <c r="D19" s="88" t="s">
        <v>70</v>
      </c>
      <c r="E19" s="35" t="s">
        <v>17</v>
      </c>
      <c r="F19" s="37">
        <v>1</v>
      </c>
      <c r="G19" s="38">
        <v>19.34</v>
      </c>
      <c r="H19" s="39"/>
      <c r="I19" s="39">
        <v>0</v>
      </c>
      <c r="J19" s="40">
        <f t="shared" ref="J19:J20" si="0">TRUNC((G19*F19),2)</f>
        <v>19.34</v>
      </c>
      <c r="K19" s="40"/>
    </row>
    <row r="20" spans="1:12" outlineLevel="1">
      <c r="A20" s="44"/>
      <c r="B20" s="35" t="s">
        <v>21</v>
      </c>
      <c r="C20" s="35" t="s">
        <v>43</v>
      </c>
      <c r="D20" s="88" t="s">
        <v>23</v>
      </c>
      <c r="E20" s="35" t="s">
        <v>17</v>
      </c>
      <c r="F20" s="37">
        <v>2</v>
      </c>
      <c r="G20" s="38">
        <v>15.63</v>
      </c>
      <c r="H20" s="39"/>
      <c r="I20" s="39">
        <v>0</v>
      </c>
      <c r="J20" s="40">
        <f t="shared" si="0"/>
        <v>31.26</v>
      </c>
      <c r="K20" s="40"/>
    </row>
    <row r="21" spans="1:12" ht="25.5" outlineLevel="1">
      <c r="A21" s="44"/>
      <c r="B21" s="35" t="s">
        <v>21</v>
      </c>
      <c r="C21" s="35" t="s">
        <v>77</v>
      </c>
      <c r="D21" s="88" t="s">
        <v>78</v>
      </c>
      <c r="E21" s="35" t="s">
        <v>67</v>
      </c>
      <c r="F21" s="37">
        <v>1.0200000000000001E-2</v>
      </c>
      <c r="G21" s="38">
        <v>259.06</v>
      </c>
      <c r="H21" s="51"/>
      <c r="I21" s="39">
        <f t="shared" ref="I21:I25" si="1">TRUNC((G21*F21),2)</f>
        <v>2.64</v>
      </c>
      <c r="J21" s="52">
        <v>0</v>
      </c>
      <c r="K21" s="52"/>
    </row>
    <row r="22" spans="1:12" ht="25.5" outlineLevel="1">
      <c r="A22" s="44"/>
      <c r="B22" s="35" t="s">
        <v>26</v>
      </c>
      <c r="C22" s="35" t="s">
        <v>79</v>
      </c>
      <c r="D22" s="88" t="s">
        <v>80</v>
      </c>
      <c r="E22" s="35" t="s">
        <v>1</v>
      </c>
      <c r="F22" s="37">
        <v>1</v>
      </c>
      <c r="G22" s="38">
        <v>2.69</v>
      </c>
      <c r="H22" s="51"/>
      <c r="I22" s="39">
        <f t="shared" si="1"/>
        <v>2.69</v>
      </c>
      <c r="J22" s="52">
        <v>0</v>
      </c>
      <c r="K22" s="52"/>
    </row>
    <row r="23" spans="1:12" ht="25.5" outlineLevel="1">
      <c r="A23" s="44"/>
      <c r="B23" s="35" t="s">
        <v>26</v>
      </c>
      <c r="C23" s="35" t="s">
        <v>81</v>
      </c>
      <c r="D23" s="88" t="s">
        <v>82</v>
      </c>
      <c r="E23" s="35" t="s">
        <v>1</v>
      </c>
      <c r="F23" s="37">
        <v>4</v>
      </c>
      <c r="G23" s="38">
        <v>4.33</v>
      </c>
      <c r="H23" s="51"/>
      <c r="I23" s="39">
        <f t="shared" si="1"/>
        <v>17.32</v>
      </c>
      <c r="J23" s="52">
        <v>0</v>
      </c>
      <c r="K23" s="52"/>
    </row>
    <row r="24" spans="1:12" ht="25.5" outlineLevel="1">
      <c r="A24" s="44"/>
      <c r="B24" s="35" t="s">
        <v>26</v>
      </c>
      <c r="C24" s="35" t="s">
        <v>83</v>
      </c>
      <c r="D24" s="88" t="s">
        <v>84</v>
      </c>
      <c r="E24" s="35" t="s">
        <v>74</v>
      </c>
      <c r="F24" s="37">
        <v>1</v>
      </c>
      <c r="G24" s="38">
        <v>500</v>
      </c>
      <c r="H24" s="51"/>
      <c r="I24" s="39">
        <f t="shared" si="1"/>
        <v>500</v>
      </c>
      <c r="J24" s="52">
        <v>0</v>
      </c>
      <c r="K24" s="52"/>
    </row>
    <row r="25" spans="1:12" outlineLevel="1">
      <c r="A25" s="44"/>
      <c r="B25" s="35" t="s">
        <v>26</v>
      </c>
      <c r="C25" s="35" t="s">
        <v>85</v>
      </c>
      <c r="D25" s="88" t="s">
        <v>86</v>
      </c>
      <c r="E25" s="35" t="s">
        <v>73</v>
      </c>
      <c r="F25" s="37">
        <v>0.104</v>
      </c>
      <c r="G25" s="38">
        <v>9.15</v>
      </c>
      <c r="H25" s="51"/>
      <c r="I25" s="39">
        <f t="shared" si="1"/>
        <v>0.95</v>
      </c>
      <c r="J25" s="52">
        <v>0</v>
      </c>
      <c r="K25" s="52"/>
    </row>
    <row r="26" spans="1:12" outlineLevel="1">
      <c r="A26" s="44"/>
      <c r="B26" s="45"/>
      <c r="C26" s="46"/>
      <c r="D26" s="94"/>
      <c r="E26" s="45"/>
      <c r="F26" s="47"/>
      <c r="G26" s="48"/>
      <c r="H26" s="49"/>
      <c r="I26" s="49"/>
      <c r="J26" s="50"/>
      <c r="K26" s="50"/>
    </row>
    <row r="27" spans="1:12" ht="25.5">
      <c r="A27" s="34">
        <v>4</v>
      </c>
      <c r="B27" s="53" t="s">
        <v>65</v>
      </c>
      <c r="C27" s="53" t="s">
        <v>66</v>
      </c>
      <c r="D27" s="95" t="s">
        <v>185</v>
      </c>
      <c r="E27" s="53" t="s">
        <v>67</v>
      </c>
      <c r="F27" s="54" t="s">
        <v>20</v>
      </c>
      <c r="G27" s="55"/>
      <c r="H27" s="56"/>
      <c r="I27" s="56">
        <f>SUM(I28)</f>
        <v>0</v>
      </c>
      <c r="J27" s="57">
        <f>SUM(J28)</f>
        <v>61.83</v>
      </c>
      <c r="K27" s="40">
        <f>TRUNC((J27+I27),2)</f>
        <v>61.83</v>
      </c>
    </row>
    <row r="28" spans="1:12">
      <c r="B28" s="35" t="s">
        <v>21</v>
      </c>
      <c r="C28" s="35" t="s">
        <v>43</v>
      </c>
      <c r="D28" s="88" t="s">
        <v>23</v>
      </c>
      <c r="E28" s="35" t="s">
        <v>17</v>
      </c>
      <c r="F28" s="37">
        <v>3.956</v>
      </c>
      <c r="G28" s="38">
        <v>15.63</v>
      </c>
      <c r="H28" s="39"/>
      <c r="I28" s="39">
        <v>0</v>
      </c>
      <c r="J28" s="40">
        <f>TRUNC((G28*F28),2)</f>
        <v>61.83</v>
      </c>
      <c r="K28" s="40"/>
    </row>
    <row r="29" spans="1:12" outlineLevel="1"/>
    <row r="30" spans="1:12">
      <c r="A30" s="34">
        <v>5</v>
      </c>
      <c r="B30" s="53" t="s">
        <v>65</v>
      </c>
      <c r="C30" s="63">
        <v>96995</v>
      </c>
      <c r="D30" s="95" t="s">
        <v>150</v>
      </c>
      <c r="E30" s="53" t="s">
        <v>67</v>
      </c>
      <c r="F30" s="54" t="s">
        <v>20</v>
      </c>
      <c r="G30" s="55"/>
      <c r="H30" s="56"/>
      <c r="I30" s="56">
        <f>SUM(I31:I31)</f>
        <v>0</v>
      </c>
      <c r="J30" s="57">
        <f>SUM(J31:J31)</f>
        <v>37.49</v>
      </c>
      <c r="K30" s="40">
        <f>TRUNC((J30+I30),2)</f>
        <v>37.49</v>
      </c>
      <c r="L30" s="11">
        <v>34.49</v>
      </c>
    </row>
    <row r="31" spans="1:12">
      <c r="B31" s="35" t="s">
        <v>21</v>
      </c>
      <c r="C31" s="35">
        <v>88316</v>
      </c>
      <c r="D31" s="88" t="s">
        <v>23</v>
      </c>
      <c r="E31" s="35" t="s">
        <v>17</v>
      </c>
      <c r="F31" s="37">
        <v>2.3986999999999998</v>
      </c>
      <c r="G31" s="38">
        <v>15.63</v>
      </c>
      <c r="H31" s="39"/>
      <c r="I31" s="39">
        <v>0</v>
      </c>
      <c r="J31" s="40">
        <f>TRUNC((G31*F31),2)</f>
        <v>37.49</v>
      </c>
      <c r="K31" s="40"/>
      <c r="L31" s="238">
        <f>L30/G31</f>
        <v>2.2066538707613566</v>
      </c>
    </row>
    <row r="33" spans="1:12" ht="38.25" outlineLevel="2">
      <c r="A33" s="34">
        <v>6</v>
      </c>
      <c r="B33" s="53" t="s">
        <v>156</v>
      </c>
      <c r="C33" s="63">
        <v>94975</v>
      </c>
      <c r="D33" s="95" t="s">
        <v>157</v>
      </c>
      <c r="E33" s="53" t="s">
        <v>67</v>
      </c>
      <c r="F33" s="54" t="s">
        <v>20</v>
      </c>
      <c r="G33" s="55"/>
      <c r="H33" s="56"/>
      <c r="I33" s="56">
        <f>SUM(I34:I37)</f>
        <v>229.75</v>
      </c>
      <c r="J33" s="57">
        <f>SUM(J34:J37)</f>
        <v>156.61000000000001</v>
      </c>
      <c r="K33" s="40">
        <f>TRUNC((J33+I33),2)</f>
        <v>386.36</v>
      </c>
      <c r="L33" s="11">
        <v>386.36</v>
      </c>
    </row>
    <row r="34" spans="1:12" outlineLevel="2">
      <c r="B34" s="35" t="s">
        <v>21</v>
      </c>
      <c r="C34" s="35" t="s">
        <v>43</v>
      </c>
      <c r="D34" s="88" t="s">
        <v>23</v>
      </c>
      <c r="E34" s="35" t="s">
        <v>17</v>
      </c>
      <c r="F34" s="37">
        <v>10.02</v>
      </c>
      <c r="G34" s="38">
        <v>15.63</v>
      </c>
      <c r="H34" s="39"/>
      <c r="I34" s="39">
        <v>0</v>
      </c>
      <c r="J34" s="40">
        <f>TRUNC((G34*F34),2)</f>
        <v>156.61000000000001</v>
      </c>
      <c r="K34" s="40"/>
    </row>
    <row r="35" spans="1:12" ht="25.5" outlineLevel="1">
      <c r="B35" s="35" t="s">
        <v>26</v>
      </c>
      <c r="C35" s="35">
        <v>370</v>
      </c>
      <c r="D35" s="88" t="s">
        <v>151</v>
      </c>
      <c r="E35" s="35" t="s">
        <v>67</v>
      </c>
      <c r="F35" s="37">
        <v>0.85</v>
      </c>
      <c r="G35" s="38">
        <v>62.75</v>
      </c>
      <c r="H35" s="39"/>
      <c r="I35" s="39">
        <f t="shared" ref="I35:I37" si="2">TRUNC((G35*F35),2)</f>
        <v>53.33</v>
      </c>
      <c r="J35" s="40">
        <v>0</v>
      </c>
      <c r="K35" s="40"/>
    </row>
    <row r="36" spans="1:12" outlineLevel="1">
      <c r="B36" s="35" t="s">
        <v>26</v>
      </c>
      <c r="C36" s="35" t="s">
        <v>152</v>
      </c>
      <c r="D36" s="88" t="s">
        <v>153</v>
      </c>
      <c r="E36" s="35" t="s">
        <v>73</v>
      </c>
      <c r="F36" s="37">
        <v>277.72000000000003</v>
      </c>
      <c r="G36" s="38">
        <v>0.5</v>
      </c>
      <c r="H36" s="39"/>
      <c r="I36" s="39">
        <f t="shared" si="2"/>
        <v>138.86000000000001</v>
      </c>
      <c r="J36" s="40">
        <v>0</v>
      </c>
      <c r="K36" s="40"/>
    </row>
    <row r="37" spans="1:12" ht="25.5" outlineLevel="1">
      <c r="B37" s="35" t="s">
        <v>26</v>
      </c>
      <c r="C37" s="35" t="s">
        <v>154</v>
      </c>
      <c r="D37" s="88" t="s">
        <v>155</v>
      </c>
      <c r="E37" s="35" t="s">
        <v>67</v>
      </c>
      <c r="F37" s="37">
        <v>0.58899999999999997</v>
      </c>
      <c r="G37" s="38">
        <v>63.77</v>
      </c>
      <c r="H37" s="39"/>
      <c r="I37" s="39">
        <f t="shared" si="2"/>
        <v>37.56</v>
      </c>
      <c r="J37" s="40">
        <v>0</v>
      </c>
      <c r="K37" s="40"/>
    </row>
    <row r="38" spans="1:12" outlineLevel="1">
      <c r="B38" s="45"/>
      <c r="C38" s="45"/>
      <c r="D38" s="94"/>
      <c r="E38" s="45"/>
      <c r="F38" s="47"/>
      <c r="G38" s="48"/>
      <c r="H38" s="49"/>
      <c r="I38" s="49"/>
      <c r="J38" s="50"/>
      <c r="K38" s="50"/>
    </row>
    <row r="39" spans="1:12" outlineLevel="1">
      <c r="A39" s="84">
        <v>7</v>
      </c>
      <c r="B39" s="71" t="s">
        <v>27</v>
      </c>
      <c r="C39" s="82" t="s">
        <v>160</v>
      </c>
      <c r="D39" s="239" t="s">
        <v>161</v>
      </c>
      <c r="E39" s="71" t="s">
        <v>61</v>
      </c>
      <c r="F39" s="240" t="s">
        <v>20</v>
      </c>
      <c r="G39" s="52"/>
      <c r="H39" s="241"/>
      <c r="I39" s="241">
        <f>SUM(I40:I42)</f>
        <v>0.33</v>
      </c>
      <c r="J39" s="241">
        <f>SUM(J40:J42)</f>
        <v>102.43</v>
      </c>
      <c r="K39" s="52">
        <f>J39+I39</f>
        <v>102.76</v>
      </c>
      <c r="L39" s="11">
        <v>102.76</v>
      </c>
    </row>
    <row r="40" spans="1:12" outlineLevel="1">
      <c r="A40" s="42"/>
      <c r="B40" s="71" t="s">
        <v>21</v>
      </c>
      <c r="C40" s="82">
        <v>88309</v>
      </c>
      <c r="D40" s="239" t="s">
        <v>63</v>
      </c>
      <c r="E40" s="71" t="s">
        <v>17</v>
      </c>
      <c r="F40" s="240">
        <v>1.65</v>
      </c>
      <c r="G40" s="52">
        <v>19.46</v>
      </c>
      <c r="H40" s="52"/>
      <c r="I40" s="52">
        <v>0</v>
      </c>
      <c r="J40" s="40">
        <f t="shared" ref="J40:J41" si="3">TRUNC((G40*F40),2)</f>
        <v>32.1</v>
      </c>
      <c r="K40" s="52"/>
    </row>
    <row r="41" spans="1:12" outlineLevel="1">
      <c r="A41" s="42"/>
      <c r="B41" s="71" t="s">
        <v>21</v>
      </c>
      <c r="C41" s="82" t="s">
        <v>43</v>
      </c>
      <c r="D41" s="239" t="s">
        <v>23</v>
      </c>
      <c r="E41" s="71" t="s">
        <v>17</v>
      </c>
      <c r="F41" s="240">
        <v>4.5</v>
      </c>
      <c r="G41" s="52">
        <v>15.63</v>
      </c>
      <c r="H41" s="52"/>
      <c r="I41" s="52">
        <v>0</v>
      </c>
      <c r="J41" s="40">
        <f t="shared" si="3"/>
        <v>70.33</v>
      </c>
      <c r="K41" s="52"/>
    </row>
    <row r="42" spans="1:12" ht="25.5" outlineLevel="1">
      <c r="A42" s="42"/>
      <c r="B42" s="71" t="s">
        <v>21</v>
      </c>
      <c r="C42" s="82" t="s">
        <v>162</v>
      </c>
      <c r="D42" s="239" t="s">
        <v>163</v>
      </c>
      <c r="E42" s="71" t="s">
        <v>22</v>
      </c>
      <c r="F42" s="240">
        <v>0.3</v>
      </c>
      <c r="G42" s="52">
        <v>1.1200000000000001</v>
      </c>
      <c r="H42" s="52"/>
      <c r="I42" s="39">
        <f t="shared" ref="I42" si="4">TRUNC((G42*F42),2)</f>
        <v>0.33</v>
      </c>
      <c r="J42" s="52">
        <v>0</v>
      </c>
      <c r="K42" s="52"/>
    </row>
    <row r="43" spans="1:12" outlineLevel="1">
      <c r="B43" s="45"/>
      <c r="C43" s="45"/>
      <c r="D43" s="94"/>
      <c r="E43" s="45"/>
      <c r="F43" s="47"/>
      <c r="G43" s="48"/>
      <c r="H43" s="49"/>
      <c r="I43" s="49"/>
      <c r="J43" s="50"/>
      <c r="K43" s="50"/>
    </row>
    <row r="44" spans="1:12" ht="25.5" outlineLevel="1">
      <c r="A44" s="34">
        <v>8</v>
      </c>
      <c r="B44" s="53" t="s">
        <v>27</v>
      </c>
      <c r="C44" s="63" t="s">
        <v>92</v>
      </c>
      <c r="D44" s="95" t="s">
        <v>187</v>
      </c>
      <c r="E44" s="53" t="s">
        <v>1</v>
      </c>
      <c r="F44" s="54" t="s">
        <v>20</v>
      </c>
      <c r="G44" s="55"/>
      <c r="H44" s="56"/>
      <c r="I44" s="56">
        <f>SUM(I45:I47)</f>
        <v>1.86</v>
      </c>
      <c r="J44" s="57">
        <f>SUM(J45:J47)</f>
        <v>3.5599999999999996</v>
      </c>
      <c r="K44" s="40">
        <f>TRUNC((J44+I44),2)</f>
        <v>5.42</v>
      </c>
    </row>
    <row r="45" spans="1:12" outlineLevel="1">
      <c r="A45" s="62"/>
      <c r="B45" s="35" t="s">
        <v>21</v>
      </c>
      <c r="C45" s="35" t="s">
        <v>42</v>
      </c>
      <c r="D45" s="88" t="s">
        <v>24</v>
      </c>
      <c r="E45" s="35" t="s">
        <v>17</v>
      </c>
      <c r="F45" s="37">
        <v>0.1</v>
      </c>
      <c r="G45" s="38">
        <v>15.51</v>
      </c>
      <c r="H45" s="39"/>
      <c r="I45" s="39">
        <v>0</v>
      </c>
      <c r="J45" s="40">
        <f t="shared" ref="J45:J46" si="5">TRUNC((G45*F45),2)</f>
        <v>1.55</v>
      </c>
      <c r="K45" s="40"/>
    </row>
    <row r="46" spans="1:12" outlineLevel="1">
      <c r="A46" s="62"/>
      <c r="B46" s="35" t="s">
        <v>21</v>
      </c>
      <c r="C46" s="35" t="s">
        <v>41</v>
      </c>
      <c r="D46" s="88" t="s">
        <v>25</v>
      </c>
      <c r="E46" s="35" t="s">
        <v>17</v>
      </c>
      <c r="F46" s="37">
        <v>0.1</v>
      </c>
      <c r="G46" s="38">
        <v>20.170000000000002</v>
      </c>
      <c r="H46" s="39"/>
      <c r="I46" s="39">
        <v>0</v>
      </c>
      <c r="J46" s="40">
        <f t="shared" si="5"/>
        <v>2.0099999999999998</v>
      </c>
      <c r="K46" s="40"/>
    </row>
    <row r="47" spans="1:12" outlineLevel="1">
      <c r="A47" s="62"/>
      <c r="B47" s="35" t="s">
        <v>26</v>
      </c>
      <c r="C47" s="35">
        <v>2690</v>
      </c>
      <c r="D47" s="88" t="s">
        <v>341</v>
      </c>
      <c r="E47" s="35" t="s">
        <v>1</v>
      </c>
      <c r="F47" s="37">
        <v>1</v>
      </c>
      <c r="G47" s="38">
        <v>1.86</v>
      </c>
      <c r="H47" s="39"/>
      <c r="I47" s="39">
        <f t="shared" ref="I47" si="6">TRUNC((G47*F47),2)</f>
        <v>1.86</v>
      </c>
      <c r="J47" s="40">
        <v>0</v>
      </c>
      <c r="K47" s="40"/>
    </row>
    <row r="48" spans="1:12" outlineLevel="1">
      <c r="A48" s="62"/>
      <c r="B48" s="257"/>
      <c r="C48" s="356"/>
      <c r="D48" s="362" t="s">
        <v>310</v>
      </c>
      <c r="E48" s="356"/>
      <c r="F48" s="357"/>
      <c r="G48" s="358"/>
      <c r="H48" s="359"/>
      <c r="I48" s="359"/>
      <c r="J48" s="360"/>
      <c r="K48" s="361"/>
    </row>
    <row r="49" spans="1:13" outlineLevel="1">
      <c r="A49" s="62"/>
      <c r="B49" s="62"/>
      <c r="C49" s="62"/>
      <c r="D49" s="98"/>
      <c r="E49" s="62"/>
    </row>
    <row r="50" spans="1:13" ht="38.25" outlineLevel="1">
      <c r="A50" s="34">
        <v>9</v>
      </c>
      <c r="B50" s="53" t="s">
        <v>27</v>
      </c>
      <c r="C50" s="53" t="s">
        <v>225</v>
      </c>
      <c r="D50" s="99" t="s">
        <v>298</v>
      </c>
      <c r="E50" s="53" t="s">
        <v>1</v>
      </c>
      <c r="F50" s="54" t="s">
        <v>20</v>
      </c>
      <c r="G50" s="55"/>
      <c r="H50" s="56"/>
      <c r="I50" s="56">
        <f>SUM(I51:I53)</f>
        <v>10.08</v>
      </c>
      <c r="J50" s="57">
        <f>SUM(J51:J53)</f>
        <v>11.59</v>
      </c>
      <c r="K50" s="40">
        <f>TRUNC((J50+I50),2)</f>
        <v>21.67</v>
      </c>
      <c r="L50" s="11">
        <v>21.67</v>
      </c>
    </row>
    <row r="51" spans="1:13" ht="38.25" outlineLevel="1">
      <c r="A51" s="62"/>
      <c r="B51" s="35" t="s">
        <v>26</v>
      </c>
      <c r="C51" s="35">
        <v>2446</v>
      </c>
      <c r="D51" s="88" t="s">
        <v>226</v>
      </c>
      <c r="E51" s="35" t="s">
        <v>1</v>
      </c>
      <c r="F51" s="37">
        <v>1</v>
      </c>
      <c r="G51" s="38">
        <v>3.84</v>
      </c>
      <c r="H51" s="39"/>
      <c r="I51" s="39">
        <v>0</v>
      </c>
      <c r="J51" s="40">
        <f t="shared" ref="J51:J52" si="7">TRUNC((G51*F51),2)</f>
        <v>3.84</v>
      </c>
      <c r="K51" s="40"/>
    </row>
    <row r="52" spans="1:13" outlineLevel="1">
      <c r="A52" s="62"/>
      <c r="B52" s="35" t="s">
        <v>21</v>
      </c>
      <c r="C52" s="35" t="s">
        <v>42</v>
      </c>
      <c r="D52" s="88" t="s">
        <v>24</v>
      </c>
      <c r="E52" s="35" t="s">
        <v>17</v>
      </c>
      <c r="F52" s="37">
        <v>0.5</v>
      </c>
      <c r="G52" s="38">
        <v>15.51</v>
      </c>
      <c r="H52" s="39"/>
      <c r="I52" s="39">
        <v>0</v>
      </c>
      <c r="J52" s="40">
        <f t="shared" si="7"/>
        <v>7.75</v>
      </c>
      <c r="K52" s="40"/>
    </row>
    <row r="53" spans="1:13" outlineLevel="1">
      <c r="A53" s="62"/>
      <c r="B53" s="35" t="s">
        <v>21</v>
      </c>
      <c r="C53" s="35" t="s">
        <v>41</v>
      </c>
      <c r="D53" s="88" t="s">
        <v>25</v>
      </c>
      <c r="E53" s="35" t="s">
        <v>17</v>
      </c>
      <c r="F53" s="37">
        <v>0.5</v>
      </c>
      <c r="G53" s="38">
        <v>20.170000000000002</v>
      </c>
      <c r="H53" s="39"/>
      <c r="I53" s="39">
        <f t="shared" ref="I53" si="8">TRUNC((G53*F53),2)</f>
        <v>10.08</v>
      </c>
      <c r="J53" s="40">
        <v>0</v>
      </c>
      <c r="K53" s="40"/>
    </row>
    <row r="54" spans="1:13" outlineLevel="1">
      <c r="A54" s="62"/>
      <c r="B54" s="62"/>
      <c r="C54" s="45"/>
      <c r="D54" s="94"/>
      <c r="E54" s="45"/>
      <c r="F54" s="47"/>
      <c r="G54" s="48"/>
      <c r="H54" s="49"/>
      <c r="I54" s="49"/>
      <c r="J54" s="50"/>
      <c r="K54" s="50"/>
    </row>
    <row r="55" spans="1:13" outlineLevel="1">
      <c r="A55" s="34">
        <v>10</v>
      </c>
      <c r="B55" s="53" t="s">
        <v>27</v>
      </c>
      <c r="C55" s="63">
        <v>83446</v>
      </c>
      <c r="D55" s="95" t="s">
        <v>72</v>
      </c>
      <c r="E55" s="53" t="s">
        <v>19</v>
      </c>
      <c r="F55" s="54" t="s">
        <v>20</v>
      </c>
      <c r="G55" s="55"/>
      <c r="H55" s="56"/>
      <c r="I55" s="56">
        <f>SUM(I56:I58)</f>
        <v>48.7</v>
      </c>
      <c r="J55" s="57">
        <f>SUM(J56:J58)</f>
        <v>102.2</v>
      </c>
      <c r="K55" s="40">
        <f>TRUNC((J55+I55),2)</f>
        <v>150.9</v>
      </c>
      <c r="L55" s="11">
        <v>150.9</v>
      </c>
      <c r="M55" s="62">
        <f>L55-J55</f>
        <v>48.7</v>
      </c>
    </row>
    <row r="56" spans="1:13" outlineLevel="1">
      <c r="A56" s="62"/>
      <c r="B56" s="35" t="s">
        <v>48</v>
      </c>
      <c r="C56" s="35" t="s">
        <v>29</v>
      </c>
      <c r="D56" s="88" t="s">
        <v>72</v>
      </c>
      <c r="E56" s="35" t="s">
        <v>19</v>
      </c>
      <c r="F56" s="37">
        <v>1</v>
      </c>
      <c r="G56" s="38">
        <v>48.7</v>
      </c>
      <c r="H56" s="39"/>
      <c r="I56" s="39">
        <f t="shared" ref="I56" si="9">TRUNC((G56*F56),2)</f>
        <v>48.7</v>
      </c>
      <c r="J56" s="40">
        <v>0</v>
      </c>
      <c r="K56" s="40"/>
      <c r="L56" s="62">
        <f>L55-J55</f>
        <v>48.7</v>
      </c>
    </row>
    <row r="57" spans="1:13" outlineLevel="1">
      <c r="A57" s="62"/>
      <c r="B57" s="35" t="s">
        <v>21</v>
      </c>
      <c r="C57" s="35" t="s">
        <v>62</v>
      </c>
      <c r="D57" s="88" t="s">
        <v>63</v>
      </c>
      <c r="E57" s="35" t="s">
        <v>17</v>
      </c>
      <c r="F57" s="37">
        <v>1.6789000000000001</v>
      </c>
      <c r="G57" s="38">
        <v>19.46</v>
      </c>
      <c r="H57" s="39"/>
      <c r="I57" s="39">
        <v>0</v>
      </c>
      <c r="J57" s="40">
        <f t="shared" ref="J57:J58" si="10">TRUNC((G57*F57),2)</f>
        <v>32.67</v>
      </c>
      <c r="K57" s="40"/>
    </row>
    <row r="58" spans="1:13" outlineLevel="1">
      <c r="A58" s="62"/>
      <c r="B58" s="35" t="s">
        <v>21</v>
      </c>
      <c r="C58" s="35" t="s">
        <v>43</v>
      </c>
      <c r="D58" s="88" t="s">
        <v>23</v>
      </c>
      <c r="E58" s="35" t="s">
        <v>17</v>
      </c>
      <c r="F58" s="37">
        <v>4.4832000000000001</v>
      </c>
      <c r="G58" s="38">
        <v>15.51</v>
      </c>
      <c r="H58" s="39"/>
      <c r="I58" s="39">
        <v>0</v>
      </c>
      <c r="J58" s="40">
        <f t="shared" si="10"/>
        <v>69.53</v>
      </c>
      <c r="K58" s="40"/>
    </row>
    <row r="59" spans="1:13" outlineLevel="1">
      <c r="A59" s="62"/>
      <c r="B59" s="45"/>
      <c r="C59" s="45"/>
      <c r="D59" s="94"/>
      <c r="E59" s="45"/>
      <c r="F59" s="47"/>
      <c r="G59" s="48"/>
      <c r="H59" s="49"/>
      <c r="I59" s="49"/>
      <c r="J59" s="50"/>
      <c r="K59" s="50"/>
    </row>
    <row r="60" spans="1:13" ht="38.25" outlineLevel="1">
      <c r="A60" s="34">
        <v>11</v>
      </c>
      <c r="B60" s="74" t="s">
        <v>111</v>
      </c>
      <c r="C60" s="75">
        <v>92366</v>
      </c>
      <c r="D60" s="99" t="s">
        <v>300</v>
      </c>
      <c r="E60" s="76" t="s">
        <v>1</v>
      </c>
      <c r="F60" s="77"/>
      <c r="G60" s="78"/>
      <c r="H60" s="79"/>
      <c r="I60" s="80">
        <f>SUM(I61:I63)</f>
        <v>40.58</v>
      </c>
      <c r="J60" s="81">
        <f>SUM(J61:J63)</f>
        <v>7.59</v>
      </c>
      <c r="K60" s="40">
        <f>TRUNC((J60+I60),2)</f>
        <v>48.17</v>
      </c>
      <c r="L60" s="11">
        <v>48.17</v>
      </c>
    </row>
    <row r="61" spans="1:13" ht="25.5" outlineLevel="1">
      <c r="A61" s="42"/>
      <c r="B61" s="35" t="s">
        <v>21</v>
      </c>
      <c r="C61" s="82">
        <v>88248</v>
      </c>
      <c r="D61" s="89" t="s">
        <v>112</v>
      </c>
      <c r="E61" s="71" t="s">
        <v>17</v>
      </c>
      <c r="F61" s="72">
        <v>0.215</v>
      </c>
      <c r="G61" s="73">
        <v>15.43</v>
      </c>
      <c r="H61" s="83"/>
      <c r="I61" s="39">
        <v>0</v>
      </c>
      <c r="J61" s="40">
        <f t="shared" ref="J61:J62" si="11">TRUNC((G61*F61),2)</f>
        <v>3.31</v>
      </c>
      <c r="K61" s="83"/>
    </row>
    <row r="62" spans="1:13" ht="25.5" outlineLevel="1">
      <c r="A62" s="42"/>
      <c r="B62" s="35" t="s">
        <v>21</v>
      </c>
      <c r="C62" s="82">
        <v>88267</v>
      </c>
      <c r="D62" s="89" t="s">
        <v>113</v>
      </c>
      <c r="E62" s="71" t="s">
        <v>17</v>
      </c>
      <c r="F62" s="72">
        <v>0.215</v>
      </c>
      <c r="G62" s="73">
        <v>19.940000000000001</v>
      </c>
      <c r="H62" s="83"/>
      <c r="I62" s="39">
        <v>0</v>
      </c>
      <c r="J62" s="40">
        <f t="shared" si="11"/>
        <v>4.28</v>
      </c>
      <c r="K62" s="83"/>
    </row>
    <row r="63" spans="1:13" ht="25.5" outlineLevel="1">
      <c r="A63" s="42"/>
      <c r="B63" s="35" t="s">
        <v>26</v>
      </c>
      <c r="C63" s="82">
        <v>7696</v>
      </c>
      <c r="D63" s="89" t="s">
        <v>299</v>
      </c>
      <c r="E63" s="71" t="s">
        <v>1</v>
      </c>
      <c r="F63" s="72">
        <v>1.0389999999999999</v>
      </c>
      <c r="G63" s="73">
        <v>39.06</v>
      </c>
      <c r="H63" s="83"/>
      <c r="I63" s="39">
        <f t="shared" ref="I63" si="12">TRUNC((G63*F63),2)</f>
        <v>40.58</v>
      </c>
      <c r="J63" s="40">
        <v>0</v>
      </c>
      <c r="K63" s="83"/>
    </row>
    <row r="64" spans="1:13" outlineLevel="1">
      <c r="A64" s="44"/>
      <c r="B64" s="64"/>
      <c r="C64" s="65"/>
      <c r="D64" s="97"/>
      <c r="E64" s="65"/>
      <c r="F64" s="66"/>
      <c r="G64" s="67"/>
      <c r="H64" s="68"/>
      <c r="I64" s="49"/>
      <c r="J64" s="69"/>
      <c r="K64" s="70"/>
    </row>
    <row r="65" spans="1:12" ht="25.5" outlineLevel="1">
      <c r="A65" s="84">
        <v>12</v>
      </c>
      <c r="B65" s="74" t="s">
        <v>111</v>
      </c>
      <c r="C65" s="75">
        <v>93020</v>
      </c>
      <c r="D65" s="99" t="s">
        <v>301</v>
      </c>
      <c r="E65" s="74" t="s">
        <v>19</v>
      </c>
      <c r="F65" s="74" t="s">
        <v>20</v>
      </c>
      <c r="G65" s="78"/>
      <c r="H65" s="79"/>
      <c r="I65" s="80">
        <f>SUM(I66:I68)</f>
        <v>6.47</v>
      </c>
      <c r="J65" s="81">
        <f>SUM(J66:J68)</f>
        <v>13.8</v>
      </c>
      <c r="K65" s="40">
        <f>TRUNC((J65+I65),2)</f>
        <v>20.27</v>
      </c>
      <c r="L65" s="11">
        <v>20.27</v>
      </c>
    </row>
    <row r="66" spans="1:12" ht="25.5" outlineLevel="1">
      <c r="B66" s="35" t="s">
        <v>21</v>
      </c>
      <c r="C66" s="82" t="s">
        <v>121</v>
      </c>
      <c r="D66" s="88" t="s">
        <v>112</v>
      </c>
      <c r="E66" s="71" t="s">
        <v>17</v>
      </c>
      <c r="F66" s="72">
        <v>0.39050000000000001</v>
      </c>
      <c r="G66" s="73">
        <v>15.43</v>
      </c>
      <c r="H66" s="83"/>
      <c r="I66" s="39">
        <v>0</v>
      </c>
      <c r="J66" s="40">
        <f t="shared" ref="J66:J67" si="13">TRUNC((G66*F66),2)</f>
        <v>6.02</v>
      </c>
      <c r="K66" s="83"/>
    </row>
    <row r="67" spans="1:12" ht="25.5" outlineLevel="1">
      <c r="B67" s="35" t="s">
        <v>21</v>
      </c>
      <c r="C67" s="82" t="s">
        <v>122</v>
      </c>
      <c r="D67" s="88" t="s">
        <v>113</v>
      </c>
      <c r="E67" s="71" t="s">
        <v>17</v>
      </c>
      <c r="F67" s="72">
        <v>0.39050000000000001</v>
      </c>
      <c r="G67" s="73">
        <v>19.940000000000001</v>
      </c>
      <c r="H67" s="83"/>
      <c r="I67" s="39">
        <v>0</v>
      </c>
      <c r="J67" s="40">
        <f t="shared" si="13"/>
        <v>7.78</v>
      </c>
      <c r="K67" s="83"/>
    </row>
    <row r="68" spans="1:12" ht="25.5" outlineLevel="1">
      <c r="B68" s="35" t="s">
        <v>26</v>
      </c>
      <c r="C68" s="82">
        <v>1876</v>
      </c>
      <c r="D68" s="88" t="s">
        <v>302</v>
      </c>
      <c r="E68" s="71" t="s">
        <v>19</v>
      </c>
      <c r="F68" s="72">
        <v>1</v>
      </c>
      <c r="G68" s="73">
        <v>6.47</v>
      </c>
      <c r="H68" s="83"/>
      <c r="I68" s="39">
        <f t="shared" ref="I68" si="14">TRUNC((G68*F68),2)</f>
        <v>6.47</v>
      </c>
      <c r="J68" s="40">
        <v>0</v>
      </c>
      <c r="K68" s="83"/>
    </row>
    <row r="69" spans="1:12" outlineLevel="1">
      <c r="B69" s="257"/>
      <c r="C69" s="356"/>
      <c r="D69" s="362" t="s">
        <v>309</v>
      </c>
      <c r="E69" s="356"/>
      <c r="F69" s="357"/>
      <c r="G69" s="358"/>
      <c r="H69" s="359"/>
      <c r="I69" s="359"/>
      <c r="J69" s="360"/>
      <c r="K69" s="361"/>
    </row>
    <row r="70" spans="1:12" outlineLevel="1">
      <c r="A70" s="44"/>
      <c r="B70" s="64"/>
      <c r="C70" s="65"/>
      <c r="D70" s="97"/>
      <c r="E70" s="65"/>
      <c r="F70" s="66"/>
      <c r="G70" s="67"/>
      <c r="H70" s="68"/>
      <c r="I70" s="49"/>
      <c r="J70" s="69"/>
      <c r="K70" s="70"/>
    </row>
    <row r="71" spans="1:12" ht="25.5" outlineLevel="1">
      <c r="A71" s="84">
        <v>13</v>
      </c>
      <c r="B71" s="74" t="s">
        <v>111</v>
      </c>
      <c r="C71" s="74">
        <v>93014</v>
      </c>
      <c r="D71" s="99" t="s">
        <v>303</v>
      </c>
      <c r="E71" s="74" t="s">
        <v>19</v>
      </c>
      <c r="F71" s="74" t="s">
        <v>20</v>
      </c>
      <c r="G71" s="78"/>
      <c r="H71" s="79"/>
      <c r="I71" s="80">
        <f>SUM(I72:I74)</f>
        <v>3.6</v>
      </c>
      <c r="J71" s="81">
        <f>SUM(J72:J74)</f>
        <v>9.19</v>
      </c>
      <c r="K71" s="40">
        <f>TRUNC((J71+I71),2)</f>
        <v>12.79</v>
      </c>
      <c r="L71" s="11">
        <v>12.8</v>
      </c>
    </row>
    <row r="72" spans="1:12" ht="25.5" outlineLevel="1">
      <c r="B72" s="35" t="s">
        <v>21</v>
      </c>
      <c r="C72" s="82" t="s">
        <v>121</v>
      </c>
      <c r="D72" s="88" t="s">
        <v>112</v>
      </c>
      <c r="E72" s="71" t="s">
        <v>17</v>
      </c>
      <c r="F72" s="72">
        <v>0.26</v>
      </c>
      <c r="G72" s="73">
        <v>15.43</v>
      </c>
      <c r="H72" s="83"/>
      <c r="I72" s="39">
        <v>0</v>
      </c>
      <c r="J72" s="40">
        <f t="shared" ref="J72:J73" si="15">TRUNC((G72*F72),2)</f>
        <v>4.01</v>
      </c>
      <c r="K72" s="83"/>
    </row>
    <row r="73" spans="1:12" ht="25.5" outlineLevel="1">
      <c r="B73" s="35" t="s">
        <v>21</v>
      </c>
      <c r="C73" s="82" t="s">
        <v>122</v>
      </c>
      <c r="D73" s="88" t="s">
        <v>113</v>
      </c>
      <c r="E73" s="71" t="s">
        <v>17</v>
      </c>
      <c r="F73" s="72">
        <v>0.26</v>
      </c>
      <c r="G73" s="73">
        <v>19.940000000000001</v>
      </c>
      <c r="H73" s="83"/>
      <c r="I73" s="39">
        <v>0</v>
      </c>
      <c r="J73" s="40">
        <f t="shared" si="15"/>
        <v>5.18</v>
      </c>
      <c r="K73" s="83"/>
    </row>
    <row r="74" spans="1:12" outlineLevel="1">
      <c r="B74" s="35" t="s">
        <v>26</v>
      </c>
      <c r="C74" s="82">
        <v>1894</v>
      </c>
      <c r="D74" s="88" t="s">
        <v>304</v>
      </c>
      <c r="E74" s="71" t="s">
        <v>19</v>
      </c>
      <c r="F74" s="72">
        <v>1</v>
      </c>
      <c r="G74" s="73">
        <v>3.6</v>
      </c>
      <c r="H74" s="83"/>
      <c r="I74" s="39">
        <f t="shared" ref="I74" si="16">TRUNC((G74*F74),2)</f>
        <v>3.6</v>
      </c>
      <c r="J74" s="40">
        <v>0</v>
      </c>
      <c r="K74" s="83"/>
    </row>
    <row r="75" spans="1:12" outlineLevel="1">
      <c r="A75" s="44"/>
      <c r="B75" s="64"/>
      <c r="C75" s="65"/>
      <c r="D75" s="97"/>
      <c r="E75" s="65"/>
      <c r="F75" s="66"/>
      <c r="G75" s="67"/>
      <c r="H75" s="68"/>
      <c r="I75" s="49"/>
      <c r="J75" s="69"/>
      <c r="K75" s="70"/>
    </row>
    <row r="76" spans="1:12" ht="25.5" outlineLevel="1">
      <c r="A76" s="86">
        <v>14</v>
      </c>
      <c r="B76" s="53" t="s">
        <v>27</v>
      </c>
      <c r="C76" s="63" t="s">
        <v>92</v>
      </c>
      <c r="D76" s="95" t="s">
        <v>123</v>
      </c>
      <c r="E76" s="53" t="s">
        <v>19</v>
      </c>
      <c r="F76" s="54" t="s">
        <v>20</v>
      </c>
      <c r="G76" s="55"/>
      <c r="H76" s="56"/>
      <c r="I76" s="56">
        <f>SUM(I77:I80)</f>
        <v>7.1199999999999992</v>
      </c>
      <c r="J76" s="57">
        <f>SUM(J77:J80)</f>
        <v>1.24</v>
      </c>
      <c r="K76" s="40">
        <f>TRUNC((J76+I76),2)</f>
        <v>8.36</v>
      </c>
    </row>
    <row r="77" spans="1:12" outlineLevel="1">
      <c r="A77" s="62"/>
      <c r="B77" s="35" t="s">
        <v>21</v>
      </c>
      <c r="C77" s="35" t="s">
        <v>42</v>
      </c>
      <c r="D77" s="88" t="s">
        <v>24</v>
      </c>
      <c r="E77" s="35" t="s">
        <v>17</v>
      </c>
      <c r="F77" s="37">
        <v>3.5000000000000003E-2</v>
      </c>
      <c r="G77" s="38">
        <v>15.51</v>
      </c>
      <c r="H77" s="39"/>
      <c r="I77" s="39">
        <v>0</v>
      </c>
      <c r="J77" s="40">
        <f t="shared" ref="J77:J78" si="17">TRUNC((G77*F77),2)</f>
        <v>0.54</v>
      </c>
      <c r="K77" s="40"/>
    </row>
    <row r="78" spans="1:12" outlineLevel="1">
      <c r="A78" s="62"/>
      <c r="B78" s="35" t="s">
        <v>21</v>
      </c>
      <c r="C78" s="35" t="s">
        <v>41</v>
      </c>
      <c r="D78" s="88" t="s">
        <v>25</v>
      </c>
      <c r="E78" s="35" t="s">
        <v>17</v>
      </c>
      <c r="F78" s="37">
        <v>3.5000000000000003E-2</v>
      </c>
      <c r="G78" s="38">
        <v>20.170000000000002</v>
      </c>
      <c r="H78" s="39"/>
      <c r="I78" s="39">
        <v>0</v>
      </c>
      <c r="J78" s="40">
        <f t="shared" si="17"/>
        <v>0.7</v>
      </c>
      <c r="K78" s="40"/>
    </row>
    <row r="79" spans="1:12" ht="25.5" outlineLevel="1">
      <c r="A79" s="62"/>
      <c r="B79" s="35" t="s">
        <v>26</v>
      </c>
      <c r="C79" s="35">
        <v>1570</v>
      </c>
      <c r="D79" s="88" t="s">
        <v>307</v>
      </c>
      <c r="E79" s="35" t="s">
        <v>19</v>
      </c>
      <c r="F79" s="37">
        <v>1</v>
      </c>
      <c r="G79" s="38">
        <v>0.52</v>
      </c>
      <c r="H79" s="39"/>
      <c r="I79" s="39">
        <f t="shared" ref="I79:I80" si="18">TRUNC((G79*F79),2)</f>
        <v>0.52</v>
      </c>
      <c r="J79" s="40">
        <v>0</v>
      </c>
      <c r="K79" s="40"/>
    </row>
    <row r="80" spans="1:12" outlineLevel="1">
      <c r="A80" s="62"/>
      <c r="B80" s="35" t="s">
        <v>26</v>
      </c>
      <c r="C80" s="35">
        <v>34653</v>
      </c>
      <c r="D80" s="88" t="s">
        <v>306</v>
      </c>
      <c r="E80" s="35" t="s">
        <v>19</v>
      </c>
      <c r="F80" s="37">
        <v>1</v>
      </c>
      <c r="G80" s="38">
        <v>6.6</v>
      </c>
      <c r="H80" s="39"/>
      <c r="I80" s="39">
        <f t="shared" si="18"/>
        <v>6.6</v>
      </c>
      <c r="J80" s="40">
        <v>0</v>
      </c>
      <c r="K80" s="40"/>
    </row>
    <row r="81" spans="1:12" outlineLevel="1">
      <c r="A81" s="62"/>
      <c r="B81" s="257"/>
      <c r="C81" s="356"/>
      <c r="D81" s="362" t="s">
        <v>308</v>
      </c>
      <c r="E81" s="356"/>
      <c r="F81" s="357"/>
      <c r="G81" s="358"/>
      <c r="H81" s="359"/>
      <c r="I81" s="359"/>
      <c r="J81" s="360"/>
      <c r="K81" s="361"/>
    </row>
    <row r="82" spans="1:12" outlineLevel="1">
      <c r="A82" s="62"/>
      <c r="B82" s="45"/>
      <c r="C82" s="45"/>
      <c r="D82" s="94"/>
      <c r="E82" s="45"/>
      <c r="F82" s="47"/>
      <c r="G82" s="48"/>
      <c r="H82" s="49"/>
      <c r="I82" s="49"/>
      <c r="J82" s="50"/>
      <c r="K82" s="50"/>
    </row>
    <row r="83" spans="1:12" ht="25.5" outlineLevel="1">
      <c r="A83" s="86">
        <v>15</v>
      </c>
      <c r="B83" s="53" t="s">
        <v>27</v>
      </c>
      <c r="C83" s="74" t="s">
        <v>177</v>
      </c>
      <c r="D83" s="95" t="s">
        <v>119</v>
      </c>
      <c r="E83" s="53" t="s">
        <v>19</v>
      </c>
      <c r="F83" s="54" t="s">
        <v>20</v>
      </c>
      <c r="G83" s="55"/>
      <c r="H83" s="56"/>
      <c r="I83" s="56">
        <f>SUM(I84:I87)</f>
        <v>48.97</v>
      </c>
      <c r="J83" s="57">
        <f>SUM(J84:J87)</f>
        <v>14.469999999999999</v>
      </c>
      <c r="K83" s="40">
        <f>TRUNC((J83+I83),2)</f>
        <v>63.44</v>
      </c>
      <c r="L83" s="11">
        <v>63.44</v>
      </c>
    </row>
    <row r="84" spans="1:12" outlineLevel="1">
      <c r="A84" s="62"/>
      <c r="B84" s="35" t="s">
        <v>21</v>
      </c>
      <c r="C84" s="35" t="s">
        <v>42</v>
      </c>
      <c r="D84" s="88" t="s">
        <v>24</v>
      </c>
      <c r="E84" s="35" t="s">
        <v>17</v>
      </c>
      <c r="F84" s="37">
        <v>0.40600000000000003</v>
      </c>
      <c r="G84" s="38">
        <v>15.51</v>
      </c>
      <c r="H84" s="39"/>
      <c r="I84" s="39">
        <v>0</v>
      </c>
      <c r="J84" s="40">
        <f t="shared" ref="J84:J85" si="19">TRUNC((G84*F84),2)</f>
        <v>6.29</v>
      </c>
      <c r="K84" s="40"/>
    </row>
    <row r="85" spans="1:12" outlineLevel="1">
      <c r="A85" s="62"/>
      <c r="B85" s="35" t="s">
        <v>21</v>
      </c>
      <c r="C85" s="35" t="s">
        <v>41</v>
      </c>
      <c r="D85" s="88" t="s">
        <v>25</v>
      </c>
      <c r="E85" s="35" t="s">
        <v>17</v>
      </c>
      <c r="F85" s="37">
        <v>0.40600000000000003</v>
      </c>
      <c r="G85" s="38">
        <v>20.170000000000002</v>
      </c>
      <c r="H85" s="39"/>
      <c r="I85" s="39">
        <v>0</v>
      </c>
      <c r="J85" s="40">
        <f t="shared" si="19"/>
        <v>8.18</v>
      </c>
      <c r="K85" s="40"/>
    </row>
    <row r="86" spans="1:12" ht="25.5" outlineLevel="1">
      <c r="A86" s="62"/>
      <c r="B86" s="35" t="s">
        <v>26</v>
      </c>
      <c r="C86" s="35">
        <v>1574</v>
      </c>
      <c r="D86" s="88" t="s">
        <v>116</v>
      </c>
      <c r="E86" s="35" t="s">
        <v>19</v>
      </c>
      <c r="F86" s="37">
        <v>3</v>
      </c>
      <c r="G86" s="38">
        <v>0.87</v>
      </c>
      <c r="H86" s="39"/>
      <c r="I86" s="39">
        <f t="shared" ref="I86:I87" si="20">TRUNC((G86*F86),2)</f>
        <v>2.61</v>
      </c>
      <c r="J86" s="40">
        <v>0</v>
      </c>
      <c r="K86" s="40"/>
    </row>
    <row r="87" spans="1:12" outlineLevel="1">
      <c r="A87" s="62"/>
      <c r="B87" s="35" t="s">
        <v>26</v>
      </c>
      <c r="C87" s="35">
        <v>34709</v>
      </c>
      <c r="D87" s="88" t="s">
        <v>178</v>
      </c>
      <c r="E87" s="35" t="s">
        <v>19</v>
      </c>
      <c r="F87" s="37">
        <v>1</v>
      </c>
      <c r="G87" s="38">
        <v>46.36</v>
      </c>
      <c r="H87" s="39"/>
      <c r="I87" s="39">
        <f t="shared" si="20"/>
        <v>46.36</v>
      </c>
      <c r="J87" s="40">
        <v>0</v>
      </c>
      <c r="K87" s="40"/>
    </row>
    <row r="88" spans="1:12" outlineLevel="1">
      <c r="A88" s="62"/>
      <c r="B88" s="62"/>
      <c r="C88" s="62"/>
      <c r="D88" s="98"/>
      <c r="E88" s="62"/>
    </row>
    <row r="89" spans="1:12" ht="51" outlineLevel="1">
      <c r="A89" s="86">
        <v>16</v>
      </c>
      <c r="B89" s="53" t="s">
        <v>27</v>
      </c>
      <c r="C89" s="63" t="s">
        <v>312</v>
      </c>
      <c r="D89" s="95" t="s">
        <v>311</v>
      </c>
      <c r="E89" s="53" t="s">
        <v>19</v>
      </c>
      <c r="F89" s="54" t="s">
        <v>20</v>
      </c>
      <c r="G89" s="55"/>
      <c r="H89" s="56"/>
      <c r="I89" s="56">
        <f>SUM(I90:I92)</f>
        <v>240.69</v>
      </c>
      <c r="J89" s="57">
        <f>SUM(J90:J92)</f>
        <v>71.36</v>
      </c>
      <c r="K89" s="40">
        <f>TRUNC((J89+I89),2)</f>
        <v>312.05</v>
      </c>
      <c r="L89" s="11">
        <v>312.05</v>
      </c>
    </row>
    <row r="90" spans="1:12" ht="25.5" outlineLevel="1">
      <c r="A90" s="62"/>
      <c r="B90" s="35" t="s">
        <v>26</v>
      </c>
      <c r="C90" s="35" t="s">
        <v>313</v>
      </c>
      <c r="D90" s="88" t="s">
        <v>314</v>
      </c>
      <c r="E90" s="35" t="s">
        <v>19</v>
      </c>
      <c r="F90" s="37">
        <v>1</v>
      </c>
      <c r="G90" s="38">
        <v>240.69</v>
      </c>
      <c r="H90" s="39"/>
      <c r="I90" s="39">
        <f t="shared" ref="I90" si="21">TRUNC((G90*F90),2)</f>
        <v>240.69</v>
      </c>
      <c r="J90" s="40">
        <v>0</v>
      </c>
      <c r="K90" s="40"/>
    </row>
    <row r="91" spans="1:12" outlineLevel="1">
      <c r="A91" s="62"/>
      <c r="B91" s="35" t="s">
        <v>21</v>
      </c>
      <c r="C91" s="35" t="s">
        <v>42</v>
      </c>
      <c r="D91" s="88" t="s">
        <v>24</v>
      </c>
      <c r="E91" s="35" t="s">
        <v>17</v>
      </c>
      <c r="F91" s="37">
        <v>2</v>
      </c>
      <c r="G91" s="38">
        <v>15.51</v>
      </c>
      <c r="H91" s="39"/>
      <c r="I91" s="39">
        <v>0</v>
      </c>
      <c r="J91" s="40">
        <f t="shared" ref="J91:J92" si="22">TRUNC((G91*F91),2)</f>
        <v>31.02</v>
      </c>
      <c r="K91" s="40"/>
    </row>
    <row r="92" spans="1:12" outlineLevel="1">
      <c r="A92" s="62"/>
      <c r="B92" s="35" t="s">
        <v>21</v>
      </c>
      <c r="C92" s="35" t="s">
        <v>41</v>
      </c>
      <c r="D92" s="88" t="s">
        <v>25</v>
      </c>
      <c r="E92" s="35" t="s">
        <v>17</v>
      </c>
      <c r="F92" s="37">
        <v>2</v>
      </c>
      <c r="G92" s="38">
        <v>20.170000000000002</v>
      </c>
      <c r="H92" s="39"/>
      <c r="I92" s="39">
        <v>0</v>
      </c>
      <c r="J92" s="40">
        <f t="shared" si="22"/>
        <v>40.340000000000003</v>
      </c>
      <c r="K92" s="35"/>
    </row>
    <row r="93" spans="1:12" outlineLevel="1">
      <c r="A93" s="62"/>
      <c r="B93" s="62"/>
      <c r="C93" s="62"/>
      <c r="D93" s="98"/>
      <c r="E93" s="62"/>
    </row>
    <row r="94" spans="1:12" ht="25.5" outlineLevel="1">
      <c r="A94" s="86">
        <v>17</v>
      </c>
      <c r="B94" s="53" t="s">
        <v>27</v>
      </c>
      <c r="C94" s="63" t="s">
        <v>315</v>
      </c>
      <c r="D94" s="95" t="s">
        <v>316</v>
      </c>
      <c r="E94" s="53" t="s">
        <v>19</v>
      </c>
      <c r="F94" s="54" t="s">
        <v>20</v>
      </c>
      <c r="G94" s="55"/>
      <c r="H94" s="56"/>
      <c r="I94" s="56">
        <f>SUM(I95:I97)</f>
        <v>5.0999999999999996</v>
      </c>
      <c r="J94" s="57">
        <f>SUM(J95:J97)</f>
        <v>34.799999999999997</v>
      </c>
      <c r="K94" s="40">
        <f>TRUNC((J94+I94),2)</f>
        <v>39.9</v>
      </c>
      <c r="L94" s="11">
        <v>39.9</v>
      </c>
    </row>
    <row r="95" spans="1:12" ht="38.25" outlineLevel="1">
      <c r="A95" s="62"/>
      <c r="B95" s="35" t="s">
        <v>26</v>
      </c>
      <c r="C95" s="35" t="s">
        <v>220</v>
      </c>
      <c r="D95" s="88" t="s">
        <v>317</v>
      </c>
      <c r="E95" s="35" t="s">
        <v>19</v>
      </c>
      <c r="F95" s="37">
        <v>1</v>
      </c>
      <c r="G95" s="38">
        <v>30.88</v>
      </c>
      <c r="H95" s="39"/>
      <c r="I95" s="39">
        <v>0</v>
      </c>
      <c r="J95" s="40">
        <f t="shared" ref="J95:J96" si="23">TRUNC((G95*F95),2)</f>
        <v>30.88</v>
      </c>
      <c r="K95" s="40"/>
    </row>
    <row r="96" spans="1:12" outlineLevel="1">
      <c r="A96" s="62"/>
      <c r="B96" s="35" t="s">
        <v>21</v>
      </c>
      <c r="C96" s="35" t="s">
        <v>42</v>
      </c>
      <c r="D96" s="88" t="s">
        <v>24</v>
      </c>
      <c r="E96" s="35" t="s">
        <v>17</v>
      </c>
      <c r="F96" s="37">
        <v>0.25309999999999999</v>
      </c>
      <c r="G96" s="38">
        <v>15.51</v>
      </c>
      <c r="H96" s="39"/>
      <c r="I96" s="39">
        <v>0</v>
      </c>
      <c r="J96" s="40">
        <f t="shared" si="23"/>
        <v>3.92</v>
      </c>
      <c r="K96" s="40"/>
    </row>
    <row r="97" spans="1:12" outlineLevel="1">
      <c r="A97" s="62"/>
      <c r="B97" s="35" t="s">
        <v>21</v>
      </c>
      <c r="C97" s="35" t="s">
        <v>41</v>
      </c>
      <c r="D97" s="88" t="s">
        <v>25</v>
      </c>
      <c r="E97" s="35" t="s">
        <v>17</v>
      </c>
      <c r="F97" s="37">
        <v>0.25309999999999999</v>
      </c>
      <c r="G97" s="38">
        <v>20.170000000000002</v>
      </c>
      <c r="H97" s="39"/>
      <c r="I97" s="39">
        <f t="shared" ref="I97" si="24">TRUNC((G97*F97),2)</f>
        <v>5.0999999999999996</v>
      </c>
      <c r="J97" s="40">
        <v>0</v>
      </c>
      <c r="K97" s="35"/>
    </row>
    <row r="98" spans="1:12" outlineLevel="1">
      <c r="A98" s="62"/>
      <c r="B98" s="62"/>
      <c r="C98" s="62"/>
      <c r="D98" s="98"/>
      <c r="E98" s="62"/>
    </row>
    <row r="99" spans="1:12" ht="25.5" outlineLevel="1">
      <c r="A99" s="86">
        <v>18</v>
      </c>
      <c r="B99" s="53" t="s">
        <v>27</v>
      </c>
      <c r="C99" s="63">
        <v>72344</v>
      </c>
      <c r="D99" s="95" t="s">
        <v>175</v>
      </c>
      <c r="E99" s="53" t="s">
        <v>19</v>
      </c>
      <c r="F99" s="54" t="s">
        <v>20</v>
      </c>
      <c r="G99" s="55"/>
      <c r="H99" s="56"/>
      <c r="I99" s="56">
        <f>SUM(I100:I103)</f>
        <v>221.18</v>
      </c>
      <c r="J99" s="57">
        <f>SUM(J100:J103)</f>
        <v>145.69</v>
      </c>
      <c r="K99" s="40">
        <f>TRUNC((J99+I99),2)</f>
        <v>366.87</v>
      </c>
      <c r="L99" s="11">
        <v>366.87</v>
      </c>
    </row>
    <row r="100" spans="1:12" outlineLevel="1">
      <c r="A100" s="62"/>
      <c r="B100" s="35" t="s">
        <v>21</v>
      </c>
      <c r="C100" s="35" t="s">
        <v>42</v>
      </c>
      <c r="D100" s="88" t="s">
        <v>24</v>
      </c>
      <c r="E100" s="35" t="s">
        <v>17</v>
      </c>
      <c r="F100" s="37">
        <v>3.8</v>
      </c>
      <c r="G100" s="38">
        <v>15.51</v>
      </c>
      <c r="H100" s="39"/>
      <c r="I100" s="39">
        <v>0</v>
      </c>
      <c r="J100" s="40">
        <f t="shared" ref="J100:J102" si="25">TRUNC((G100*F100),2)</f>
        <v>58.93</v>
      </c>
      <c r="K100" s="40"/>
    </row>
    <row r="101" spans="1:12" outlineLevel="1">
      <c r="A101" s="62"/>
      <c r="B101" s="35" t="s">
        <v>21</v>
      </c>
      <c r="C101" s="35" t="s">
        <v>41</v>
      </c>
      <c r="D101" s="88" t="s">
        <v>25</v>
      </c>
      <c r="E101" s="35" t="s">
        <v>17</v>
      </c>
      <c r="F101" s="37">
        <v>3.8</v>
      </c>
      <c r="G101" s="38">
        <v>20.170000000000002</v>
      </c>
      <c r="H101" s="39"/>
      <c r="I101" s="39">
        <v>0</v>
      </c>
      <c r="J101" s="40">
        <f t="shared" si="25"/>
        <v>76.64</v>
      </c>
      <c r="K101" s="40"/>
    </row>
    <row r="102" spans="1:12" outlineLevel="1">
      <c r="A102" s="62"/>
      <c r="B102" s="35" t="s">
        <v>21</v>
      </c>
      <c r="C102" s="35">
        <v>20.25</v>
      </c>
      <c r="D102" s="88" t="s">
        <v>91</v>
      </c>
      <c r="E102" s="35" t="s">
        <v>17</v>
      </c>
      <c r="F102" s="37">
        <v>0.5</v>
      </c>
      <c r="G102" s="38">
        <v>20.25</v>
      </c>
      <c r="H102" s="39"/>
      <c r="I102" s="39">
        <v>0</v>
      </c>
      <c r="J102" s="40">
        <f t="shared" si="25"/>
        <v>10.119999999999999</v>
      </c>
      <c r="K102" s="40"/>
    </row>
    <row r="103" spans="1:12" ht="25.5" outlineLevel="1">
      <c r="A103" s="62"/>
      <c r="B103" s="35" t="s">
        <v>26</v>
      </c>
      <c r="C103" s="35">
        <v>1620</v>
      </c>
      <c r="D103" s="88" t="s">
        <v>174</v>
      </c>
      <c r="E103" s="35" t="s">
        <v>19</v>
      </c>
      <c r="F103" s="37">
        <v>1</v>
      </c>
      <c r="G103" s="38">
        <v>221.18</v>
      </c>
      <c r="H103" s="39"/>
      <c r="I103" s="39">
        <f t="shared" ref="I103" si="26">TRUNC((G103*F103),2)</f>
        <v>221.18</v>
      </c>
      <c r="J103" s="40">
        <v>0</v>
      </c>
      <c r="K103" s="35"/>
    </row>
    <row r="104" spans="1:12" outlineLevel="1">
      <c r="A104" s="62"/>
      <c r="B104" s="45"/>
      <c r="C104" s="45"/>
      <c r="D104" s="94"/>
      <c r="E104" s="45"/>
      <c r="F104" s="47"/>
      <c r="G104" s="48"/>
      <c r="H104" s="49"/>
      <c r="I104" s="49"/>
      <c r="J104" s="50"/>
      <c r="K104" s="45"/>
    </row>
    <row r="105" spans="1:12" outlineLevel="1">
      <c r="A105" s="84">
        <v>19</v>
      </c>
      <c r="B105" s="74" t="s">
        <v>27</v>
      </c>
      <c r="C105" s="74" t="s">
        <v>149</v>
      </c>
      <c r="D105" s="99" t="s">
        <v>176</v>
      </c>
      <c r="E105" s="74" t="s">
        <v>19</v>
      </c>
      <c r="F105" s="87" t="s">
        <v>20</v>
      </c>
      <c r="G105" s="55"/>
      <c r="H105" s="79"/>
      <c r="I105" s="80">
        <f>SUM(I106:I107)</f>
        <v>7.98</v>
      </c>
      <c r="J105" s="81">
        <f>SUM(J106:J107)</f>
        <v>4.03</v>
      </c>
      <c r="K105" s="40">
        <f>TRUNC((J105+I105),2)</f>
        <v>12.01</v>
      </c>
    </row>
    <row r="106" spans="1:12" outlineLevel="1">
      <c r="B106" s="35" t="s">
        <v>21</v>
      </c>
      <c r="C106" s="35" t="s">
        <v>41</v>
      </c>
      <c r="D106" s="89" t="s">
        <v>25</v>
      </c>
      <c r="E106" s="35" t="s">
        <v>17</v>
      </c>
      <c r="F106" s="37">
        <v>0.2</v>
      </c>
      <c r="G106" s="38">
        <v>20.170000000000002</v>
      </c>
      <c r="H106" s="39"/>
      <c r="I106" s="39">
        <v>0</v>
      </c>
      <c r="J106" s="40">
        <f t="shared" ref="J106" si="27">TRUNC((G106*F106),2)</f>
        <v>4.03</v>
      </c>
      <c r="K106" s="83"/>
    </row>
    <row r="107" spans="1:12" ht="25.5" outlineLevel="1">
      <c r="B107" s="35" t="s">
        <v>26</v>
      </c>
      <c r="C107" s="35">
        <v>3295</v>
      </c>
      <c r="D107" s="89" t="s">
        <v>318</v>
      </c>
      <c r="E107" s="35" t="s">
        <v>19</v>
      </c>
      <c r="F107" s="37">
        <v>1</v>
      </c>
      <c r="G107" s="38">
        <v>7.98</v>
      </c>
      <c r="H107" s="83"/>
      <c r="I107" s="39">
        <f t="shared" ref="I107" si="28">TRUNC((G107*F107),2)</f>
        <v>7.98</v>
      </c>
      <c r="J107" s="40">
        <v>0</v>
      </c>
      <c r="K107" s="83"/>
    </row>
    <row r="108" spans="1:12" outlineLevel="1">
      <c r="B108" s="257"/>
      <c r="C108" s="356"/>
      <c r="D108" s="362" t="s">
        <v>319</v>
      </c>
      <c r="E108" s="356"/>
      <c r="F108" s="357"/>
      <c r="G108" s="358"/>
      <c r="H108" s="359"/>
      <c r="I108" s="359"/>
      <c r="J108" s="360"/>
      <c r="K108" s="361"/>
    </row>
    <row r="109" spans="1:12" outlineLevel="1"/>
    <row r="110" spans="1:12" ht="25.5" outlineLevel="1">
      <c r="A110" s="84">
        <v>20</v>
      </c>
      <c r="B110" s="74" t="s">
        <v>27</v>
      </c>
      <c r="C110" s="74" t="s">
        <v>92</v>
      </c>
      <c r="D110" s="99" t="s">
        <v>115</v>
      </c>
      <c r="E110" s="74" t="s">
        <v>19</v>
      </c>
      <c r="F110" s="87" t="s">
        <v>20</v>
      </c>
      <c r="G110" s="55"/>
      <c r="H110" s="79"/>
      <c r="I110" s="80">
        <f>SUM(I111:I113)</f>
        <v>79.41</v>
      </c>
      <c r="J110" s="81">
        <f>SUM(J111:J113)</f>
        <v>17.829999999999998</v>
      </c>
      <c r="K110" s="40">
        <f>TRUNC((J110+I110),2)</f>
        <v>97.24</v>
      </c>
    </row>
    <row r="111" spans="1:12" outlineLevel="1">
      <c r="B111" s="35" t="s">
        <v>21</v>
      </c>
      <c r="C111" s="35" t="s">
        <v>41</v>
      </c>
      <c r="D111" s="89" t="s">
        <v>25</v>
      </c>
      <c r="E111" s="35" t="s">
        <v>17</v>
      </c>
      <c r="F111" s="37">
        <v>0.5</v>
      </c>
      <c r="G111" s="38">
        <v>20.170000000000002</v>
      </c>
      <c r="H111" s="83"/>
      <c r="I111" s="39">
        <v>0</v>
      </c>
      <c r="J111" s="40">
        <f t="shared" ref="J111:J112" si="29">TRUNC((G111*F111),2)</f>
        <v>10.08</v>
      </c>
      <c r="K111" s="83"/>
    </row>
    <row r="112" spans="1:12" outlineLevel="1">
      <c r="B112" s="35" t="s">
        <v>21</v>
      </c>
      <c r="C112" s="35" t="s">
        <v>42</v>
      </c>
      <c r="D112" s="88" t="s">
        <v>24</v>
      </c>
      <c r="E112" s="35" t="s">
        <v>17</v>
      </c>
      <c r="F112" s="37">
        <v>0.5</v>
      </c>
      <c r="G112" s="38">
        <v>15.51</v>
      </c>
      <c r="H112" s="83"/>
      <c r="I112" s="39">
        <v>0</v>
      </c>
      <c r="J112" s="40">
        <f t="shared" si="29"/>
        <v>7.75</v>
      </c>
      <c r="K112" s="40"/>
    </row>
    <row r="113" spans="1:12" outlineLevel="1">
      <c r="B113" s="35" t="s">
        <v>26</v>
      </c>
      <c r="C113" s="35" t="s">
        <v>321</v>
      </c>
      <c r="D113" s="89" t="s">
        <v>322</v>
      </c>
      <c r="E113" s="35" t="s">
        <v>19</v>
      </c>
      <c r="F113" s="37">
        <v>1</v>
      </c>
      <c r="G113" s="38">
        <v>79.41</v>
      </c>
      <c r="H113" s="83"/>
      <c r="I113" s="39">
        <f t="shared" ref="I113" si="30">TRUNC((G113*F113),2)</f>
        <v>79.41</v>
      </c>
      <c r="J113" s="40">
        <v>0</v>
      </c>
      <c r="K113" s="83"/>
    </row>
    <row r="114" spans="1:12" outlineLevel="1">
      <c r="B114" s="257"/>
      <c r="C114" s="356"/>
      <c r="D114" s="362" t="s">
        <v>320</v>
      </c>
      <c r="E114" s="356"/>
      <c r="F114" s="357"/>
      <c r="G114" s="358"/>
      <c r="H114" s="359"/>
      <c r="I114" s="359"/>
      <c r="J114" s="360"/>
      <c r="K114" s="361"/>
    </row>
    <row r="115" spans="1:12" outlineLevel="1">
      <c r="A115" s="62"/>
      <c r="B115" s="45"/>
      <c r="C115" s="45"/>
      <c r="D115" s="94"/>
      <c r="E115" s="45"/>
      <c r="F115" s="47"/>
      <c r="G115" s="48"/>
      <c r="H115" s="49"/>
      <c r="I115" s="49"/>
      <c r="J115" s="50"/>
      <c r="K115" s="45"/>
    </row>
    <row r="116" spans="1:12" ht="25.5" outlineLevel="1">
      <c r="A116" s="86">
        <v>21</v>
      </c>
      <c r="B116" s="53" t="s">
        <v>27</v>
      </c>
      <c r="C116" s="63" t="s">
        <v>92</v>
      </c>
      <c r="D116" s="95" t="s">
        <v>118</v>
      </c>
      <c r="E116" s="53" t="s">
        <v>19</v>
      </c>
      <c r="F116" s="54" t="s">
        <v>20</v>
      </c>
      <c r="G116" s="55"/>
      <c r="H116" s="56"/>
      <c r="I116" s="56">
        <f>SUM(I117:I120)</f>
        <v>24.02</v>
      </c>
      <c r="J116" s="57">
        <f>SUM(J117:J119)</f>
        <v>12.52</v>
      </c>
      <c r="K116" s="40">
        <f>TRUNC((J116+I116),2)</f>
        <v>36.54</v>
      </c>
      <c r="L116" s="11">
        <v>27.8</v>
      </c>
    </row>
    <row r="117" spans="1:12" outlineLevel="1">
      <c r="A117" s="62"/>
      <c r="B117" s="35" t="s">
        <v>21</v>
      </c>
      <c r="C117" s="35">
        <v>88316</v>
      </c>
      <c r="D117" s="88" t="s">
        <v>23</v>
      </c>
      <c r="E117" s="35" t="s">
        <v>17</v>
      </c>
      <c r="F117" s="37">
        <v>0.35</v>
      </c>
      <c r="G117" s="38">
        <v>15.63</v>
      </c>
      <c r="H117" s="39"/>
      <c r="I117" s="39">
        <v>0</v>
      </c>
      <c r="J117" s="40">
        <f t="shared" ref="J117:J118" si="31">TRUNC((G117*F117),2)</f>
        <v>5.47</v>
      </c>
      <c r="K117" s="40"/>
    </row>
    <row r="118" spans="1:12" outlineLevel="1">
      <c r="A118" s="62"/>
      <c r="B118" s="35" t="s">
        <v>21</v>
      </c>
      <c r="C118" s="35" t="s">
        <v>41</v>
      </c>
      <c r="D118" s="88" t="s">
        <v>25</v>
      </c>
      <c r="E118" s="35" t="s">
        <v>17</v>
      </c>
      <c r="F118" s="37">
        <v>0.35</v>
      </c>
      <c r="G118" s="38">
        <v>20.170000000000002</v>
      </c>
      <c r="H118" s="39"/>
      <c r="I118" s="39">
        <v>0</v>
      </c>
      <c r="J118" s="40">
        <f t="shared" si="31"/>
        <v>7.05</v>
      </c>
      <c r="K118" s="40"/>
    </row>
    <row r="119" spans="1:12" outlineLevel="1">
      <c r="A119" s="62"/>
      <c r="B119" s="35" t="s">
        <v>117</v>
      </c>
      <c r="C119" s="35">
        <v>39380</v>
      </c>
      <c r="D119" s="88" t="s">
        <v>289</v>
      </c>
      <c r="E119" s="35" t="s">
        <v>19</v>
      </c>
      <c r="F119" s="37">
        <v>1</v>
      </c>
      <c r="G119" s="38">
        <v>8.74</v>
      </c>
      <c r="H119" s="39"/>
      <c r="I119" s="39">
        <f t="shared" ref="I119" si="32">TRUNC((G119*F119),2)</f>
        <v>8.74</v>
      </c>
      <c r="J119" s="40">
        <v>0</v>
      </c>
      <c r="K119" s="35"/>
    </row>
    <row r="120" spans="1:12" outlineLevel="1">
      <c r="A120" s="62"/>
      <c r="B120" s="35" t="s">
        <v>117</v>
      </c>
      <c r="C120" s="35">
        <v>2510</v>
      </c>
      <c r="D120" s="88" t="s">
        <v>290</v>
      </c>
      <c r="E120" s="35" t="s">
        <v>19</v>
      </c>
      <c r="F120" s="37">
        <v>1</v>
      </c>
      <c r="G120" s="38">
        <v>15.28</v>
      </c>
      <c r="H120" s="39"/>
      <c r="I120" s="39">
        <f t="shared" ref="I120" si="33">TRUNC((G120*F120),2)</f>
        <v>15.28</v>
      </c>
      <c r="J120" s="40">
        <v>0</v>
      </c>
      <c r="K120" s="35"/>
    </row>
    <row r="121" spans="1:12" outlineLevel="1">
      <c r="A121" s="62"/>
      <c r="B121" s="257"/>
      <c r="C121" s="356"/>
      <c r="D121" s="362" t="s">
        <v>323</v>
      </c>
      <c r="E121" s="356"/>
      <c r="F121" s="357"/>
      <c r="G121" s="358"/>
      <c r="H121" s="359"/>
      <c r="I121" s="359"/>
      <c r="J121" s="360"/>
      <c r="K121" s="361"/>
    </row>
    <row r="122" spans="1:12" outlineLevel="1">
      <c r="A122" s="62"/>
      <c r="B122" s="45"/>
      <c r="C122" s="45"/>
      <c r="D122" s="100"/>
      <c r="E122" s="45"/>
      <c r="F122" s="47"/>
      <c r="H122" s="85"/>
      <c r="I122" s="49"/>
      <c r="J122" s="50"/>
      <c r="K122" s="85"/>
    </row>
    <row r="123" spans="1:12" ht="25.5" outlineLevel="1">
      <c r="A123" s="86">
        <v>22</v>
      </c>
      <c r="B123" s="53" t="s">
        <v>27</v>
      </c>
      <c r="C123" s="53" t="s">
        <v>324</v>
      </c>
      <c r="D123" s="95" t="s">
        <v>325</v>
      </c>
      <c r="E123" s="53" t="s">
        <v>1</v>
      </c>
      <c r="F123" s="54" t="s">
        <v>20</v>
      </c>
      <c r="G123" s="55"/>
      <c r="H123" s="56"/>
      <c r="I123" s="56">
        <f>SUM(I124:I127)</f>
        <v>1.46</v>
      </c>
      <c r="J123" s="57">
        <f>SUM(J124:J127)</f>
        <v>1.06</v>
      </c>
      <c r="K123" s="40">
        <f>TRUNC((J123+I123),2)</f>
        <v>2.52</v>
      </c>
      <c r="L123" s="11">
        <v>2.52</v>
      </c>
    </row>
    <row r="124" spans="1:12" ht="25.5" outlineLevel="1">
      <c r="A124" s="62"/>
      <c r="B124" s="35" t="s">
        <v>26</v>
      </c>
      <c r="C124" s="35" t="s">
        <v>326</v>
      </c>
      <c r="D124" s="88" t="s">
        <v>327</v>
      </c>
      <c r="E124" s="35" t="s">
        <v>1</v>
      </c>
      <c r="F124" s="37">
        <v>1.19</v>
      </c>
      <c r="G124" s="38">
        <v>1.21</v>
      </c>
      <c r="H124" s="39"/>
      <c r="I124" s="39">
        <f t="shared" ref="I124:I125" si="34">TRUNC((G124*F124),2)</f>
        <v>1.43</v>
      </c>
      <c r="J124" s="40">
        <v>0</v>
      </c>
      <c r="K124" s="40"/>
    </row>
    <row r="125" spans="1:12" ht="25.5" outlineLevel="1">
      <c r="A125" s="62"/>
      <c r="B125" s="35" t="s">
        <v>26</v>
      </c>
      <c r="C125" s="35" t="s">
        <v>45</v>
      </c>
      <c r="D125" s="88" t="s">
        <v>46</v>
      </c>
      <c r="E125" s="35" t="s">
        <v>19</v>
      </c>
      <c r="F125" s="37">
        <v>8.9999999999999993E-3</v>
      </c>
      <c r="G125" s="38">
        <v>3.4</v>
      </c>
      <c r="H125" s="39"/>
      <c r="I125" s="39">
        <f t="shared" si="34"/>
        <v>0.03</v>
      </c>
      <c r="J125" s="40">
        <v>0</v>
      </c>
      <c r="K125" s="40"/>
    </row>
    <row r="126" spans="1:12" outlineLevel="1">
      <c r="A126" s="62"/>
      <c r="B126" s="35" t="s">
        <v>21</v>
      </c>
      <c r="C126" s="35" t="s">
        <v>42</v>
      </c>
      <c r="D126" s="88" t="s">
        <v>24</v>
      </c>
      <c r="E126" s="35" t="s">
        <v>17</v>
      </c>
      <c r="F126" s="37">
        <v>0.03</v>
      </c>
      <c r="G126" s="38">
        <v>15.51</v>
      </c>
      <c r="H126" s="39"/>
      <c r="I126" s="39">
        <v>0</v>
      </c>
      <c r="J126" s="40">
        <f t="shared" ref="J126:J127" si="35">TRUNC((G126*F126),2)</f>
        <v>0.46</v>
      </c>
      <c r="K126" s="35"/>
    </row>
    <row r="127" spans="1:12" outlineLevel="1">
      <c r="A127" s="62"/>
      <c r="B127" s="35" t="s">
        <v>21</v>
      </c>
      <c r="C127" s="35" t="s">
        <v>41</v>
      </c>
      <c r="D127" s="88" t="s">
        <v>25</v>
      </c>
      <c r="E127" s="35" t="s">
        <v>17</v>
      </c>
      <c r="F127" s="37">
        <v>0.03</v>
      </c>
      <c r="G127" s="38">
        <v>20.170000000000002</v>
      </c>
      <c r="H127" s="39"/>
      <c r="I127" s="39">
        <v>0</v>
      </c>
      <c r="J127" s="40">
        <f t="shared" si="35"/>
        <v>0.6</v>
      </c>
      <c r="K127" s="35"/>
    </row>
    <row r="128" spans="1:12" outlineLevel="1">
      <c r="A128" s="62"/>
      <c r="B128" s="62"/>
      <c r="C128" s="62"/>
      <c r="D128" s="98"/>
      <c r="E128" s="62"/>
    </row>
    <row r="129" spans="1:12" ht="38.25" outlineLevel="1">
      <c r="A129" s="86">
        <v>23</v>
      </c>
      <c r="B129" s="53" t="s">
        <v>27</v>
      </c>
      <c r="C129" s="53" t="s">
        <v>93</v>
      </c>
      <c r="D129" s="95" t="s">
        <v>173</v>
      </c>
      <c r="E129" s="53" t="s">
        <v>1</v>
      </c>
      <c r="F129" s="54" t="s">
        <v>20</v>
      </c>
      <c r="G129" s="55"/>
      <c r="H129" s="56"/>
      <c r="I129" s="56">
        <f>SUM(I130:I133)</f>
        <v>3.0999999999999996</v>
      </c>
      <c r="J129" s="57">
        <f>SUM(J130:J133)</f>
        <v>1.42</v>
      </c>
      <c r="K129" s="40">
        <f>TRUNC((J129+I129),2)</f>
        <v>4.5199999999999996</v>
      </c>
      <c r="L129" s="11">
        <v>4.5199999999999996</v>
      </c>
    </row>
    <row r="130" spans="1:12" outlineLevel="1">
      <c r="A130" s="62"/>
      <c r="B130" s="35" t="s">
        <v>21</v>
      </c>
      <c r="C130" s="35" t="s">
        <v>42</v>
      </c>
      <c r="D130" s="88" t="s">
        <v>24</v>
      </c>
      <c r="E130" s="35" t="s">
        <v>17</v>
      </c>
      <c r="F130" s="37">
        <v>0.04</v>
      </c>
      <c r="G130" s="38">
        <v>15.51</v>
      </c>
      <c r="H130" s="39"/>
      <c r="I130" s="39">
        <v>0</v>
      </c>
      <c r="J130" s="40">
        <f t="shared" ref="J130:J131" si="36">TRUNC((G130*F130),2)</f>
        <v>0.62</v>
      </c>
      <c r="K130" s="40"/>
    </row>
    <row r="131" spans="1:12" outlineLevel="1">
      <c r="A131" s="62"/>
      <c r="B131" s="35" t="s">
        <v>21</v>
      </c>
      <c r="C131" s="35" t="s">
        <v>41</v>
      </c>
      <c r="D131" s="88" t="s">
        <v>25</v>
      </c>
      <c r="E131" s="35" t="s">
        <v>17</v>
      </c>
      <c r="F131" s="37">
        <v>0.04</v>
      </c>
      <c r="G131" s="38">
        <v>20.170000000000002</v>
      </c>
      <c r="H131" s="39"/>
      <c r="I131" s="39">
        <v>0</v>
      </c>
      <c r="J131" s="40">
        <f t="shared" si="36"/>
        <v>0.8</v>
      </c>
      <c r="K131" s="40"/>
    </row>
    <row r="132" spans="1:12" ht="38.25" outlineLevel="1">
      <c r="A132" s="62"/>
      <c r="B132" s="35" t="s">
        <v>26</v>
      </c>
      <c r="C132" s="35" t="s">
        <v>94</v>
      </c>
      <c r="D132" s="88" t="s">
        <v>95</v>
      </c>
      <c r="E132" s="35" t="s">
        <v>1</v>
      </c>
      <c r="F132" s="37">
        <v>1.19</v>
      </c>
      <c r="G132" s="38">
        <v>2.58</v>
      </c>
      <c r="H132" s="39"/>
      <c r="I132" s="39">
        <f t="shared" ref="I132:I133" si="37">TRUNC((G132*F132),2)</f>
        <v>3.07</v>
      </c>
      <c r="J132" s="40">
        <v>0</v>
      </c>
      <c r="K132" s="35"/>
    </row>
    <row r="133" spans="1:12" ht="25.5" outlineLevel="1">
      <c r="A133" s="62"/>
      <c r="B133" s="35" t="s">
        <v>26</v>
      </c>
      <c r="C133" s="35" t="s">
        <v>45</v>
      </c>
      <c r="D133" s="88" t="s">
        <v>46</v>
      </c>
      <c r="E133" s="35" t="s">
        <v>19</v>
      </c>
      <c r="F133" s="37">
        <v>8.9999999999999993E-3</v>
      </c>
      <c r="G133" s="38">
        <v>3.4</v>
      </c>
      <c r="H133" s="39"/>
      <c r="I133" s="39">
        <f t="shared" si="37"/>
        <v>0.03</v>
      </c>
      <c r="J133" s="40">
        <v>0</v>
      </c>
      <c r="K133" s="35"/>
    </row>
    <row r="134" spans="1:12" outlineLevel="1">
      <c r="A134" s="62"/>
      <c r="B134" s="62"/>
      <c r="C134" s="62"/>
      <c r="D134" s="98"/>
      <c r="E134" s="62"/>
    </row>
    <row r="135" spans="1:12" ht="25.5" outlineLevel="1">
      <c r="A135" s="86">
        <v>24</v>
      </c>
      <c r="B135" s="53" t="s">
        <v>27</v>
      </c>
      <c r="C135" s="53" t="s">
        <v>96</v>
      </c>
      <c r="D135" s="95" t="s">
        <v>97</v>
      </c>
      <c r="E135" s="53" t="s">
        <v>1</v>
      </c>
      <c r="F135" s="54" t="s">
        <v>20</v>
      </c>
      <c r="G135" s="55"/>
      <c r="H135" s="56"/>
      <c r="I135" s="56">
        <f>SUM(I136:I139)</f>
        <v>4.2300000000000004</v>
      </c>
      <c r="J135" s="57">
        <f>SUM(J136:J139)</f>
        <v>1.84</v>
      </c>
      <c r="K135" s="40">
        <f>TRUNC((J135+I135),2)</f>
        <v>6.07</v>
      </c>
      <c r="L135" s="11">
        <v>6.07</v>
      </c>
    </row>
    <row r="136" spans="1:12" outlineLevel="1">
      <c r="A136" s="62"/>
      <c r="B136" s="35" t="s">
        <v>21</v>
      </c>
      <c r="C136" s="35" t="s">
        <v>42</v>
      </c>
      <c r="D136" s="88" t="s">
        <v>24</v>
      </c>
      <c r="E136" s="35" t="s">
        <v>17</v>
      </c>
      <c r="F136" s="37">
        <v>5.1999999999999998E-2</v>
      </c>
      <c r="G136" s="38">
        <v>15.51</v>
      </c>
      <c r="H136" s="39"/>
      <c r="I136" s="39">
        <v>0</v>
      </c>
      <c r="J136" s="40">
        <f t="shared" ref="J136:J137" si="38">TRUNC((G136*F136),2)</f>
        <v>0.8</v>
      </c>
      <c r="K136" s="40"/>
    </row>
    <row r="137" spans="1:12" outlineLevel="1">
      <c r="A137" s="62"/>
      <c r="B137" s="35" t="s">
        <v>21</v>
      </c>
      <c r="C137" s="35" t="s">
        <v>41</v>
      </c>
      <c r="D137" s="88" t="s">
        <v>25</v>
      </c>
      <c r="E137" s="35" t="s">
        <v>17</v>
      </c>
      <c r="F137" s="37">
        <v>5.1999999999999998E-2</v>
      </c>
      <c r="G137" s="38">
        <v>20.170000000000002</v>
      </c>
      <c r="H137" s="39"/>
      <c r="I137" s="39">
        <v>0</v>
      </c>
      <c r="J137" s="40">
        <f t="shared" si="38"/>
        <v>1.04</v>
      </c>
      <c r="K137" s="40"/>
    </row>
    <row r="138" spans="1:12" ht="38.25" outlineLevel="1">
      <c r="A138" s="62"/>
      <c r="B138" s="35" t="s">
        <v>26</v>
      </c>
      <c r="C138" s="35" t="s">
        <v>98</v>
      </c>
      <c r="D138" s="88" t="s">
        <v>99</v>
      </c>
      <c r="E138" s="35" t="s">
        <v>1</v>
      </c>
      <c r="F138" s="37">
        <v>1.19</v>
      </c>
      <c r="G138" s="38">
        <v>3.53</v>
      </c>
      <c r="H138" s="39"/>
      <c r="I138" s="39">
        <f t="shared" ref="I138:I139" si="39">TRUNC((G138*F138),2)</f>
        <v>4.2</v>
      </c>
      <c r="J138" s="40">
        <v>0</v>
      </c>
      <c r="K138" s="35"/>
    </row>
    <row r="139" spans="1:12" ht="25.5" outlineLevel="1">
      <c r="A139" s="62"/>
      <c r="B139" s="35" t="s">
        <v>26</v>
      </c>
      <c r="C139" s="35" t="s">
        <v>45</v>
      </c>
      <c r="D139" s="88" t="s">
        <v>46</v>
      </c>
      <c r="E139" s="35" t="s">
        <v>19</v>
      </c>
      <c r="F139" s="37">
        <v>8.9999999999999993E-3</v>
      </c>
      <c r="G139" s="38">
        <v>3.4</v>
      </c>
      <c r="H139" s="39"/>
      <c r="I139" s="39">
        <f t="shared" si="39"/>
        <v>0.03</v>
      </c>
      <c r="J139" s="40">
        <v>0</v>
      </c>
      <c r="K139" s="35"/>
    </row>
    <row r="140" spans="1:12" outlineLevel="1">
      <c r="A140" s="62"/>
      <c r="B140" s="62"/>
      <c r="C140" s="62"/>
      <c r="D140" s="98"/>
      <c r="E140" s="62"/>
    </row>
    <row r="141" spans="1:12" ht="25.5" outlineLevel="1">
      <c r="A141" s="86">
        <v>25</v>
      </c>
      <c r="B141" s="53" t="s">
        <v>27</v>
      </c>
      <c r="C141" s="53" t="s">
        <v>100</v>
      </c>
      <c r="D141" s="95" t="s">
        <v>101</v>
      </c>
      <c r="E141" s="53" t="s">
        <v>1</v>
      </c>
      <c r="F141" s="54" t="s">
        <v>20</v>
      </c>
      <c r="G141" s="55"/>
      <c r="H141" s="56"/>
      <c r="I141" s="56">
        <f>SUM(I142:I145)</f>
        <v>6.75</v>
      </c>
      <c r="J141" s="57">
        <f>SUM(J142:J145)</f>
        <v>2.74</v>
      </c>
      <c r="K141" s="40">
        <f>TRUNC((J141+I141),2)</f>
        <v>9.49</v>
      </c>
      <c r="L141" s="11">
        <v>9.49</v>
      </c>
    </row>
    <row r="142" spans="1:12" outlineLevel="1">
      <c r="A142" s="62"/>
      <c r="B142" s="35" t="s">
        <v>21</v>
      </c>
      <c r="C142" s="35" t="s">
        <v>42</v>
      </c>
      <c r="D142" s="88" t="s">
        <v>24</v>
      </c>
      <c r="E142" s="35" t="s">
        <v>17</v>
      </c>
      <c r="F142" s="37">
        <v>7.6999999999999999E-2</v>
      </c>
      <c r="G142" s="38">
        <v>15.51</v>
      </c>
      <c r="H142" s="39"/>
      <c r="I142" s="39">
        <v>0</v>
      </c>
      <c r="J142" s="40">
        <f t="shared" ref="J142:J143" si="40">TRUNC((G142*F142),2)</f>
        <v>1.19</v>
      </c>
      <c r="K142" s="40"/>
    </row>
    <row r="143" spans="1:12" outlineLevel="1">
      <c r="A143" s="62"/>
      <c r="B143" s="35" t="s">
        <v>21</v>
      </c>
      <c r="C143" s="35" t="s">
        <v>41</v>
      </c>
      <c r="D143" s="88" t="s">
        <v>25</v>
      </c>
      <c r="E143" s="35" t="s">
        <v>17</v>
      </c>
      <c r="F143" s="37">
        <v>7.6999999999999999E-2</v>
      </c>
      <c r="G143" s="38">
        <v>20.170000000000002</v>
      </c>
      <c r="H143" s="39"/>
      <c r="I143" s="39">
        <v>0</v>
      </c>
      <c r="J143" s="40">
        <f t="shared" si="40"/>
        <v>1.55</v>
      </c>
      <c r="K143" s="40"/>
    </row>
    <row r="144" spans="1:12" ht="25.5" outlineLevel="1">
      <c r="A144" s="62"/>
      <c r="B144" s="35" t="s">
        <v>26</v>
      </c>
      <c r="C144" s="35" t="s">
        <v>102</v>
      </c>
      <c r="D144" s="88" t="s">
        <v>103</v>
      </c>
      <c r="E144" s="35" t="s">
        <v>1</v>
      </c>
      <c r="F144" s="37">
        <v>1.19</v>
      </c>
      <c r="G144" s="38">
        <v>5.65</v>
      </c>
      <c r="H144" s="39"/>
      <c r="I144" s="39">
        <f t="shared" ref="I144:I145" si="41">TRUNC((G144*F144),2)</f>
        <v>6.72</v>
      </c>
      <c r="J144" s="40">
        <v>0</v>
      </c>
      <c r="K144" s="35"/>
    </row>
    <row r="145" spans="1:12" ht="25.5" outlineLevel="1">
      <c r="A145" s="62"/>
      <c r="B145" s="35" t="s">
        <v>26</v>
      </c>
      <c r="C145" s="35" t="s">
        <v>45</v>
      </c>
      <c r="D145" s="88" t="s">
        <v>46</v>
      </c>
      <c r="E145" s="35" t="s">
        <v>19</v>
      </c>
      <c r="F145" s="37">
        <v>8.9999999999999993E-3</v>
      </c>
      <c r="G145" s="38">
        <v>3.4</v>
      </c>
      <c r="H145" s="39"/>
      <c r="I145" s="39">
        <f t="shared" si="41"/>
        <v>0.03</v>
      </c>
      <c r="J145" s="40">
        <v>0</v>
      </c>
      <c r="K145" s="35"/>
    </row>
    <row r="146" spans="1:12" outlineLevel="1">
      <c r="A146" s="62"/>
      <c r="B146" s="62"/>
      <c r="C146" s="62"/>
      <c r="D146" s="98"/>
      <c r="E146" s="62"/>
    </row>
    <row r="147" spans="1:12" ht="25.5" outlineLevel="1">
      <c r="A147" s="86">
        <v>26</v>
      </c>
      <c r="B147" s="53" t="s">
        <v>27</v>
      </c>
      <c r="C147" s="63">
        <v>92982</v>
      </c>
      <c r="D147" s="95" t="s">
        <v>167</v>
      </c>
      <c r="E147" s="53" t="s">
        <v>1</v>
      </c>
      <c r="F147" s="54" t="s">
        <v>20</v>
      </c>
      <c r="G147" s="55"/>
      <c r="H147" s="56"/>
      <c r="I147" s="56">
        <f>SUM(I148:I151)</f>
        <v>8.93</v>
      </c>
      <c r="J147" s="57">
        <f>SUM(J148:J151)</f>
        <v>0.46</v>
      </c>
      <c r="K147" s="40">
        <f>TRUNC((J147+I147),2)</f>
        <v>9.39</v>
      </c>
      <c r="L147" s="11">
        <v>9.39</v>
      </c>
    </row>
    <row r="148" spans="1:12" outlineLevel="1">
      <c r="A148" s="62"/>
      <c r="B148" s="35" t="s">
        <v>21</v>
      </c>
      <c r="C148" s="35" t="s">
        <v>42</v>
      </c>
      <c r="D148" s="88" t="s">
        <v>24</v>
      </c>
      <c r="E148" s="35" t="s">
        <v>17</v>
      </c>
      <c r="F148" s="37">
        <v>1.2999999999999999E-2</v>
      </c>
      <c r="G148" s="38">
        <v>15.51</v>
      </c>
      <c r="H148" s="39"/>
      <c r="I148" s="39">
        <v>0</v>
      </c>
      <c r="J148" s="40">
        <f t="shared" ref="J148:J149" si="42">TRUNC((G148*F148),2)</f>
        <v>0.2</v>
      </c>
      <c r="K148" s="40"/>
    </row>
    <row r="149" spans="1:12" outlineLevel="1">
      <c r="A149" s="62"/>
      <c r="B149" s="35" t="s">
        <v>21</v>
      </c>
      <c r="C149" s="35" t="s">
        <v>41</v>
      </c>
      <c r="D149" s="88" t="s">
        <v>25</v>
      </c>
      <c r="E149" s="35" t="s">
        <v>17</v>
      </c>
      <c r="F149" s="37">
        <v>1.2999999999999999E-2</v>
      </c>
      <c r="G149" s="38">
        <v>20.170000000000002</v>
      </c>
      <c r="H149" s="39"/>
      <c r="I149" s="39">
        <v>0</v>
      </c>
      <c r="J149" s="40">
        <f t="shared" si="42"/>
        <v>0.26</v>
      </c>
      <c r="K149" s="40"/>
    </row>
    <row r="150" spans="1:12" ht="38.25" outlineLevel="1">
      <c r="A150" s="62"/>
      <c r="B150" s="35" t="s">
        <v>26</v>
      </c>
      <c r="C150" s="35">
        <v>995</v>
      </c>
      <c r="D150" s="88" t="s">
        <v>168</v>
      </c>
      <c r="E150" s="35" t="s">
        <v>1</v>
      </c>
      <c r="F150" s="37">
        <v>1.0269999999999999</v>
      </c>
      <c r="G150" s="38">
        <v>8.67</v>
      </c>
      <c r="H150" s="39"/>
      <c r="I150" s="39">
        <f t="shared" ref="I150:I151" si="43">TRUNC((G150*F150),2)</f>
        <v>8.9</v>
      </c>
      <c r="J150" s="40">
        <v>0</v>
      </c>
      <c r="K150" s="35"/>
    </row>
    <row r="151" spans="1:12" ht="25.5" outlineLevel="1">
      <c r="A151" s="62"/>
      <c r="B151" s="35" t="s">
        <v>26</v>
      </c>
      <c r="C151" s="35" t="s">
        <v>45</v>
      </c>
      <c r="D151" s="88" t="s">
        <v>46</v>
      </c>
      <c r="E151" s="35" t="s">
        <v>19</v>
      </c>
      <c r="F151" s="37">
        <v>0.01</v>
      </c>
      <c r="G151" s="38">
        <v>3.4</v>
      </c>
      <c r="H151" s="39"/>
      <c r="I151" s="39">
        <f t="shared" si="43"/>
        <v>0.03</v>
      </c>
      <c r="J151" s="40">
        <v>0</v>
      </c>
      <c r="K151" s="35"/>
    </row>
    <row r="152" spans="1:12" outlineLevel="1">
      <c r="A152" s="62"/>
      <c r="B152" s="62"/>
      <c r="C152" s="62"/>
      <c r="D152" s="98"/>
      <c r="E152" s="62"/>
    </row>
    <row r="153" spans="1:12" ht="25.5" outlineLevel="1">
      <c r="A153" s="86">
        <v>27</v>
      </c>
      <c r="B153" s="53" t="s">
        <v>27</v>
      </c>
      <c r="C153" s="63">
        <v>92984</v>
      </c>
      <c r="D153" s="95" t="s">
        <v>169</v>
      </c>
      <c r="E153" s="53" t="s">
        <v>1</v>
      </c>
      <c r="F153" s="54" t="s">
        <v>20</v>
      </c>
      <c r="G153" s="55"/>
      <c r="H153" s="56"/>
      <c r="I153" s="56">
        <f>SUM(I154:I157)</f>
        <v>13.42</v>
      </c>
      <c r="J153" s="57">
        <f>SUM(J154:J157)</f>
        <v>2.2800000000000002</v>
      </c>
      <c r="K153" s="40">
        <f>TRUNC((J153+I153),2)</f>
        <v>15.7</v>
      </c>
      <c r="L153" s="11">
        <v>15.7</v>
      </c>
    </row>
    <row r="154" spans="1:12" outlineLevel="1">
      <c r="A154" s="62"/>
      <c r="B154" s="35" t="s">
        <v>21</v>
      </c>
      <c r="C154" s="35" t="s">
        <v>42</v>
      </c>
      <c r="D154" s="88" t="s">
        <v>24</v>
      </c>
      <c r="E154" s="35" t="s">
        <v>17</v>
      </c>
      <c r="F154" s="37">
        <v>6.4000000000000001E-2</v>
      </c>
      <c r="G154" s="38">
        <v>15.51</v>
      </c>
      <c r="H154" s="39"/>
      <c r="I154" s="39">
        <v>0</v>
      </c>
      <c r="J154" s="40">
        <f t="shared" ref="J154:J155" si="44">TRUNC((G154*F154),2)</f>
        <v>0.99</v>
      </c>
      <c r="K154" s="40"/>
    </row>
    <row r="155" spans="1:12" outlineLevel="1">
      <c r="A155" s="62"/>
      <c r="B155" s="35" t="s">
        <v>21</v>
      </c>
      <c r="C155" s="35" t="s">
        <v>41</v>
      </c>
      <c r="D155" s="88" t="s">
        <v>25</v>
      </c>
      <c r="E155" s="35" t="s">
        <v>17</v>
      </c>
      <c r="F155" s="37">
        <v>6.4000000000000001E-2</v>
      </c>
      <c r="G155" s="38">
        <v>20.170000000000002</v>
      </c>
      <c r="H155" s="39"/>
      <c r="I155" s="39">
        <v>0</v>
      </c>
      <c r="J155" s="40">
        <f t="shared" si="44"/>
        <v>1.29</v>
      </c>
      <c r="K155" s="40"/>
    </row>
    <row r="156" spans="1:12" ht="38.25" outlineLevel="1">
      <c r="A156" s="62"/>
      <c r="B156" s="35" t="s">
        <v>26</v>
      </c>
      <c r="C156" s="35">
        <v>996</v>
      </c>
      <c r="D156" s="88" t="s">
        <v>170</v>
      </c>
      <c r="E156" s="35" t="s">
        <v>1</v>
      </c>
      <c r="F156" s="37">
        <v>1.0149999999999999</v>
      </c>
      <c r="G156" s="38">
        <v>13.2</v>
      </c>
      <c r="H156" s="39"/>
      <c r="I156" s="39">
        <f t="shared" ref="I156:I157" si="45">TRUNC((G156*F156),2)</f>
        <v>13.39</v>
      </c>
      <c r="J156" s="40">
        <v>0</v>
      </c>
      <c r="K156" s="35"/>
    </row>
    <row r="157" spans="1:12" ht="25.5" outlineLevel="1">
      <c r="A157" s="62"/>
      <c r="B157" s="35" t="s">
        <v>26</v>
      </c>
      <c r="C157" s="35" t="s">
        <v>45</v>
      </c>
      <c r="D157" s="88" t="s">
        <v>46</v>
      </c>
      <c r="E157" s="35" t="s">
        <v>19</v>
      </c>
      <c r="F157" s="37">
        <v>8.9999999999999993E-3</v>
      </c>
      <c r="G157" s="38">
        <v>3.4</v>
      </c>
      <c r="H157" s="39"/>
      <c r="I157" s="39">
        <f t="shared" si="45"/>
        <v>0.03</v>
      </c>
      <c r="J157" s="40">
        <v>0</v>
      </c>
      <c r="K157" s="35"/>
    </row>
    <row r="158" spans="1:12" outlineLevel="1">
      <c r="A158" s="62"/>
      <c r="B158" s="45"/>
      <c r="C158" s="45"/>
      <c r="D158" s="94"/>
      <c r="E158" s="45"/>
      <c r="F158" s="47"/>
      <c r="G158" s="48"/>
      <c r="H158" s="49"/>
      <c r="I158" s="49"/>
      <c r="J158" s="50"/>
      <c r="K158" s="45"/>
    </row>
    <row r="159" spans="1:12" ht="38.25" outlineLevel="1">
      <c r="A159" s="86">
        <v>28</v>
      </c>
      <c r="B159" s="74" t="s">
        <v>27</v>
      </c>
      <c r="C159" s="74" t="s">
        <v>92</v>
      </c>
      <c r="D159" s="99" t="s">
        <v>329</v>
      </c>
      <c r="E159" s="74" t="s">
        <v>19</v>
      </c>
      <c r="F159" s="74" t="s">
        <v>20</v>
      </c>
      <c r="G159" s="99"/>
      <c r="H159" s="99">
        <f>SUM(H160:H164)</f>
        <v>2319.4809999999998</v>
      </c>
      <c r="I159" s="258">
        <f>SUM(I160:I164)</f>
        <v>2319.4700000000003</v>
      </c>
      <c r="J159" s="258">
        <f>SUM(J160:J164)</f>
        <v>125.63</v>
      </c>
      <c r="K159" s="259">
        <f>TRUNC((J159+I159),2)</f>
        <v>2445.1</v>
      </c>
    </row>
    <row r="160" spans="1:12" outlineLevel="1">
      <c r="A160" s="62"/>
      <c r="B160" s="35" t="s">
        <v>26</v>
      </c>
      <c r="C160" s="35" t="s">
        <v>29</v>
      </c>
      <c r="D160" s="88" t="s">
        <v>195</v>
      </c>
      <c r="E160" s="35" t="s">
        <v>19</v>
      </c>
      <c r="F160" s="37">
        <v>1</v>
      </c>
      <c r="G160" s="38">
        <v>2078.0700000000002</v>
      </c>
      <c r="H160" s="39">
        <f t="shared" ref="H160:H164" si="46">G160*F160</f>
        <v>2078.0700000000002</v>
      </c>
      <c r="I160" s="39">
        <f t="shared" ref="I160:I164" si="47">TRUNC((G160*F160),2)</f>
        <v>2078.0700000000002</v>
      </c>
      <c r="J160" s="40"/>
      <c r="K160" s="40"/>
    </row>
    <row r="161" spans="1:15" outlineLevel="1">
      <c r="A161" s="62"/>
      <c r="B161" s="35" t="s">
        <v>21</v>
      </c>
      <c r="C161" s="35" t="s">
        <v>43</v>
      </c>
      <c r="D161" s="88" t="s">
        <v>23</v>
      </c>
      <c r="E161" s="35" t="s">
        <v>17</v>
      </c>
      <c r="F161" s="37">
        <v>6</v>
      </c>
      <c r="G161" s="38">
        <v>15.63</v>
      </c>
      <c r="H161" s="39"/>
      <c r="I161" s="39"/>
      <c r="J161" s="40">
        <f t="shared" ref="J161:J163" si="48">TRUNC((G161*F161),2)</f>
        <v>93.78</v>
      </c>
      <c r="K161" s="40"/>
    </row>
    <row r="162" spans="1:15" ht="51" outlineLevel="1">
      <c r="A162" s="62"/>
      <c r="B162" s="35" t="s">
        <v>21</v>
      </c>
      <c r="C162" s="35" t="s">
        <v>164</v>
      </c>
      <c r="D162" s="88" t="s">
        <v>165</v>
      </c>
      <c r="E162" s="35" t="s">
        <v>22</v>
      </c>
      <c r="F162" s="37">
        <v>1.5</v>
      </c>
      <c r="G162" s="38">
        <v>123.59</v>
      </c>
      <c r="H162" s="39">
        <f t="shared" si="46"/>
        <v>185.38499999999999</v>
      </c>
      <c r="I162" s="39">
        <f t="shared" si="47"/>
        <v>185.38</v>
      </c>
      <c r="J162" s="40">
        <v>0</v>
      </c>
      <c r="K162" s="40"/>
    </row>
    <row r="163" spans="1:15" ht="25.5" outlineLevel="1">
      <c r="A163" s="62"/>
      <c r="B163" s="35" t="s">
        <v>21</v>
      </c>
      <c r="C163" s="35" t="s">
        <v>196</v>
      </c>
      <c r="D163" s="88" t="s">
        <v>197</v>
      </c>
      <c r="E163" s="35" t="s">
        <v>67</v>
      </c>
      <c r="F163" s="37">
        <v>0.2</v>
      </c>
      <c r="G163" s="38">
        <v>159.27000000000001</v>
      </c>
      <c r="H163" s="39"/>
      <c r="I163" s="40">
        <v>0</v>
      </c>
      <c r="J163" s="40">
        <f t="shared" si="48"/>
        <v>31.85</v>
      </c>
      <c r="K163" s="40"/>
    </row>
    <row r="164" spans="1:15" ht="25.5" outlineLevel="1">
      <c r="A164" s="62"/>
      <c r="B164" s="35" t="s">
        <v>21</v>
      </c>
      <c r="C164" s="35" t="s">
        <v>198</v>
      </c>
      <c r="D164" s="88" t="s">
        <v>199</v>
      </c>
      <c r="E164" s="35" t="s">
        <v>67</v>
      </c>
      <c r="F164" s="37">
        <v>0.2</v>
      </c>
      <c r="G164" s="38">
        <v>280.13</v>
      </c>
      <c r="H164" s="39">
        <f t="shared" si="46"/>
        <v>56.026000000000003</v>
      </c>
      <c r="I164" s="39">
        <f t="shared" si="47"/>
        <v>56.02</v>
      </c>
      <c r="J164" s="40">
        <v>0</v>
      </c>
      <c r="K164" s="40"/>
    </row>
    <row r="165" spans="1:15" outlineLevel="1">
      <c r="A165" s="62"/>
      <c r="B165" s="257"/>
      <c r="C165" s="356"/>
      <c r="D165" s="362" t="s">
        <v>328</v>
      </c>
      <c r="E165" s="356"/>
      <c r="F165" s="357"/>
      <c r="G165" s="358"/>
      <c r="H165" s="359"/>
      <c r="I165" s="359"/>
      <c r="J165" s="360"/>
      <c r="K165" s="361"/>
    </row>
    <row r="166" spans="1:15" outlineLevel="1">
      <c r="A166" s="62"/>
      <c r="B166" s="62"/>
      <c r="C166" s="62"/>
      <c r="D166" s="98"/>
      <c r="E166" s="62"/>
    </row>
    <row r="167" spans="1:15" ht="25.5" outlineLevel="1">
      <c r="A167" s="86">
        <v>29</v>
      </c>
      <c r="B167" s="74" t="s">
        <v>27</v>
      </c>
      <c r="C167" s="74" t="s">
        <v>92</v>
      </c>
      <c r="D167" s="99" t="s">
        <v>200</v>
      </c>
      <c r="E167" s="74" t="s">
        <v>19</v>
      </c>
      <c r="F167" s="74" t="s">
        <v>20</v>
      </c>
      <c r="G167" s="74" t="s">
        <v>20</v>
      </c>
      <c r="H167" s="74">
        <f>SUM(H168:H182)</f>
        <v>1756.9918302000001</v>
      </c>
      <c r="I167" s="258">
        <f>SUM(I168:I182)</f>
        <v>1756.99</v>
      </c>
      <c r="J167" s="258">
        <f>SUM(J168:J182)</f>
        <v>286.40000000000003</v>
      </c>
      <c r="K167" s="259">
        <f>TRUNC((J167+I167),2)</f>
        <v>2043.39</v>
      </c>
      <c r="L167" s="11">
        <v>1343.37</v>
      </c>
      <c r="M167" s="11" t="s">
        <v>189</v>
      </c>
      <c r="N167" s="11" t="s">
        <v>192</v>
      </c>
    </row>
    <row r="168" spans="1:15" outlineLevel="1">
      <c r="A168" s="42"/>
      <c r="B168" s="35" t="s">
        <v>21</v>
      </c>
      <c r="C168" s="35" t="s">
        <v>41</v>
      </c>
      <c r="D168" s="88" t="s">
        <v>25</v>
      </c>
      <c r="E168" s="35" t="s">
        <v>17</v>
      </c>
      <c r="F168" s="37">
        <v>8</v>
      </c>
      <c r="G168" s="35">
        <v>20.170000000000002</v>
      </c>
      <c r="H168" s="35"/>
      <c r="I168" s="40">
        <v>0</v>
      </c>
      <c r="J168" s="40">
        <f t="shared" ref="J168:J169" si="49">TRUNC((G168*F168),2)</f>
        <v>161.36000000000001</v>
      </c>
      <c r="K168" s="35"/>
      <c r="L168" s="11">
        <f>1262.7*1.1</f>
        <v>1388.9700000000003</v>
      </c>
      <c r="M168" s="246">
        <f>1084.29*1.15</f>
        <v>1246.9334999999999</v>
      </c>
      <c r="N168" s="246">
        <f>1136.3*1.15987</f>
        <v>1317.9602809999999</v>
      </c>
    </row>
    <row r="169" spans="1:15" outlineLevel="1">
      <c r="A169" s="42"/>
      <c r="B169" s="35" t="s">
        <v>21</v>
      </c>
      <c r="C169" s="35" t="s">
        <v>43</v>
      </c>
      <c r="D169" s="88" t="s">
        <v>23</v>
      </c>
      <c r="E169" s="35" t="s">
        <v>17</v>
      </c>
      <c r="F169" s="37">
        <v>8</v>
      </c>
      <c r="G169" s="35">
        <v>15.63</v>
      </c>
      <c r="H169" s="35"/>
      <c r="I169" s="40">
        <v>0</v>
      </c>
      <c r="J169" s="40">
        <f t="shared" si="49"/>
        <v>125.04</v>
      </c>
      <c r="K169" s="35"/>
      <c r="M169" s="11">
        <f>(M168+L168)/2</f>
        <v>1317.9517500000002</v>
      </c>
      <c r="O169" s="11">
        <f>(M169+L169+N169)/3</f>
        <v>439.31725000000006</v>
      </c>
    </row>
    <row r="170" spans="1:15" outlineLevel="1">
      <c r="A170" s="42"/>
      <c r="B170" s="35" t="s">
        <v>26</v>
      </c>
      <c r="C170" s="35" t="s">
        <v>201</v>
      </c>
      <c r="D170" s="88" t="s">
        <v>202</v>
      </c>
      <c r="E170" s="35" t="s">
        <v>19</v>
      </c>
      <c r="F170" s="37">
        <v>0.13333</v>
      </c>
      <c r="G170" s="35">
        <v>50.94</v>
      </c>
      <c r="H170" s="35">
        <f t="shared" ref="H170:H182" si="50">G170*F170</f>
        <v>6.7918301999999997</v>
      </c>
      <c r="I170" s="39">
        <f t="shared" ref="I170:I182" si="51">TRUNC((G170*F170),2)</f>
        <v>6.79</v>
      </c>
      <c r="J170" s="40">
        <v>0</v>
      </c>
      <c r="K170" s="35"/>
      <c r="L170" s="11">
        <f>1984.7-90</f>
        <v>1894.7</v>
      </c>
    </row>
    <row r="171" spans="1:15" ht="25.5" outlineLevel="1">
      <c r="A171" s="42"/>
      <c r="B171" s="35" t="s">
        <v>26</v>
      </c>
      <c r="C171" s="35" t="s">
        <v>203</v>
      </c>
      <c r="D171" s="88" t="s">
        <v>204</v>
      </c>
      <c r="E171" s="35" t="s">
        <v>19</v>
      </c>
      <c r="F171" s="37">
        <v>2</v>
      </c>
      <c r="G171" s="35">
        <v>19.38</v>
      </c>
      <c r="H171" s="35">
        <f t="shared" si="50"/>
        <v>38.76</v>
      </c>
      <c r="I171" s="39">
        <f t="shared" si="51"/>
        <v>38.76</v>
      </c>
      <c r="J171" s="40">
        <v>0</v>
      </c>
      <c r="K171" s="35"/>
    </row>
    <row r="172" spans="1:15" outlineLevel="1">
      <c r="A172" s="42"/>
      <c r="B172" s="35" t="s">
        <v>26</v>
      </c>
      <c r="C172" s="35" t="s">
        <v>205</v>
      </c>
      <c r="D172" s="88" t="s">
        <v>206</v>
      </c>
      <c r="E172" s="35" t="s">
        <v>1</v>
      </c>
      <c r="F172" s="37">
        <v>3</v>
      </c>
      <c r="G172" s="35">
        <v>7.98</v>
      </c>
      <c r="H172" s="35">
        <f t="shared" si="50"/>
        <v>23.94</v>
      </c>
      <c r="I172" s="39">
        <f t="shared" si="51"/>
        <v>23.94</v>
      </c>
      <c r="J172" s="40">
        <v>0</v>
      </c>
      <c r="K172" s="35"/>
    </row>
    <row r="173" spans="1:15" outlineLevel="1">
      <c r="A173" s="247"/>
      <c r="B173" s="35" t="s">
        <v>26</v>
      </c>
      <c r="C173" s="35" t="s">
        <v>207</v>
      </c>
      <c r="D173" s="88" t="s">
        <v>208</v>
      </c>
      <c r="E173" s="35" t="s">
        <v>1</v>
      </c>
      <c r="F173" s="37">
        <v>27</v>
      </c>
      <c r="G173" s="35">
        <v>4.82</v>
      </c>
      <c r="H173" s="35">
        <f t="shared" si="50"/>
        <v>130.14000000000001</v>
      </c>
      <c r="I173" s="39">
        <f t="shared" si="51"/>
        <v>130.13999999999999</v>
      </c>
      <c r="J173" s="40">
        <v>0</v>
      </c>
      <c r="K173" s="35"/>
    </row>
    <row r="174" spans="1:15" ht="38.25" outlineLevel="1">
      <c r="A174" s="247"/>
      <c r="B174" s="35" t="s">
        <v>26</v>
      </c>
      <c r="C174" s="35" t="s">
        <v>209</v>
      </c>
      <c r="D174" s="88" t="s">
        <v>210</v>
      </c>
      <c r="E174" s="35" t="s">
        <v>19</v>
      </c>
      <c r="F174" s="37">
        <v>1</v>
      </c>
      <c r="G174" s="35">
        <v>149.5</v>
      </c>
      <c r="H174" s="35">
        <f t="shared" si="50"/>
        <v>149.5</v>
      </c>
      <c r="I174" s="39">
        <f t="shared" si="51"/>
        <v>149.5</v>
      </c>
      <c r="J174" s="40">
        <v>0</v>
      </c>
      <c r="K174" s="35"/>
    </row>
    <row r="175" spans="1:15" ht="25.5" outlineLevel="1">
      <c r="A175" s="247"/>
      <c r="B175" s="35" t="s">
        <v>26</v>
      </c>
      <c r="C175" s="35" t="s">
        <v>211</v>
      </c>
      <c r="D175" s="88" t="s">
        <v>212</v>
      </c>
      <c r="E175" s="35" t="s">
        <v>19</v>
      </c>
      <c r="F175" s="37">
        <v>2</v>
      </c>
      <c r="G175" s="35">
        <v>64.3</v>
      </c>
      <c r="H175" s="35">
        <f t="shared" si="50"/>
        <v>128.6</v>
      </c>
      <c r="I175" s="39">
        <f t="shared" si="51"/>
        <v>128.6</v>
      </c>
      <c r="J175" s="40">
        <v>0</v>
      </c>
      <c r="K175" s="35"/>
    </row>
    <row r="176" spans="1:15" ht="25.5" outlineLevel="1">
      <c r="A176" s="247"/>
      <c r="B176" s="35" t="s">
        <v>26</v>
      </c>
      <c r="C176" s="35" t="s">
        <v>213</v>
      </c>
      <c r="D176" s="88" t="s">
        <v>181</v>
      </c>
      <c r="E176" s="35" t="s">
        <v>19</v>
      </c>
      <c r="F176" s="37">
        <v>8</v>
      </c>
      <c r="G176" s="35">
        <v>4</v>
      </c>
      <c r="H176" s="35">
        <f t="shared" si="50"/>
        <v>32</v>
      </c>
      <c r="I176" s="39">
        <f t="shared" si="51"/>
        <v>32</v>
      </c>
      <c r="J176" s="40">
        <v>0</v>
      </c>
      <c r="K176" s="35"/>
    </row>
    <row r="177" spans="1:11" outlineLevel="1">
      <c r="A177" s="247"/>
      <c r="B177" s="35" t="s">
        <v>26</v>
      </c>
      <c r="C177" s="35" t="s">
        <v>214</v>
      </c>
      <c r="D177" s="88" t="s">
        <v>215</v>
      </c>
      <c r="E177" s="35" t="s">
        <v>19</v>
      </c>
      <c r="F177" s="37">
        <v>4</v>
      </c>
      <c r="G177" s="35">
        <v>1.1599999999999999</v>
      </c>
      <c r="H177" s="35">
        <f t="shared" si="50"/>
        <v>4.6399999999999997</v>
      </c>
      <c r="I177" s="39">
        <f t="shared" si="51"/>
        <v>4.6399999999999997</v>
      </c>
      <c r="J177" s="40">
        <v>0</v>
      </c>
      <c r="K177" s="35"/>
    </row>
    <row r="178" spans="1:11" outlineLevel="1">
      <c r="A178" s="247"/>
      <c r="B178" s="35" t="s">
        <v>26</v>
      </c>
      <c r="C178" s="35" t="s">
        <v>216</v>
      </c>
      <c r="D178" s="88" t="s">
        <v>217</v>
      </c>
      <c r="E178" s="35" t="s">
        <v>19</v>
      </c>
      <c r="F178" s="37">
        <v>1</v>
      </c>
      <c r="G178" s="35">
        <v>57.39</v>
      </c>
      <c r="H178" s="35">
        <f t="shared" si="50"/>
        <v>57.39</v>
      </c>
      <c r="I178" s="39">
        <f t="shared" si="51"/>
        <v>57.39</v>
      </c>
      <c r="J178" s="40">
        <v>0</v>
      </c>
      <c r="K178" s="35"/>
    </row>
    <row r="179" spans="1:11" outlineLevel="1">
      <c r="A179" s="247"/>
      <c r="B179" s="35" t="s">
        <v>26</v>
      </c>
      <c r="C179" s="35" t="s">
        <v>218</v>
      </c>
      <c r="D179" s="88" t="s">
        <v>219</v>
      </c>
      <c r="E179" s="35" t="s">
        <v>1</v>
      </c>
      <c r="F179" s="37">
        <v>8</v>
      </c>
      <c r="G179" s="35">
        <v>3.23</v>
      </c>
      <c r="H179" s="35">
        <f t="shared" si="50"/>
        <v>25.84</v>
      </c>
      <c r="I179" s="39">
        <f t="shared" si="51"/>
        <v>25.84</v>
      </c>
      <c r="J179" s="40">
        <v>0</v>
      </c>
      <c r="K179" s="35"/>
    </row>
    <row r="180" spans="1:11" ht="25.5" outlineLevel="1">
      <c r="A180" s="247"/>
      <c r="B180" s="35" t="s">
        <v>21</v>
      </c>
      <c r="C180" s="35">
        <v>83397</v>
      </c>
      <c r="D180" s="88" t="s">
        <v>224</v>
      </c>
      <c r="E180" s="35" t="s">
        <v>19</v>
      </c>
      <c r="F180" s="37">
        <v>1</v>
      </c>
      <c r="G180" s="35">
        <v>1119.23</v>
      </c>
      <c r="H180" s="35">
        <f t="shared" si="50"/>
        <v>1119.23</v>
      </c>
      <c r="I180" s="39">
        <f t="shared" si="51"/>
        <v>1119.23</v>
      </c>
      <c r="J180" s="40">
        <v>0</v>
      </c>
      <c r="K180" s="35"/>
    </row>
    <row r="181" spans="1:11" ht="25.5" outlineLevel="1">
      <c r="A181" s="247"/>
      <c r="B181" s="35" t="s">
        <v>26</v>
      </c>
      <c r="C181" s="35" t="s">
        <v>220</v>
      </c>
      <c r="D181" s="88" t="s">
        <v>221</v>
      </c>
      <c r="E181" s="35" t="s">
        <v>19</v>
      </c>
      <c r="F181" s="37">
        <v>1</v>
      </c>
      <c r="G181" s="35">
        <v>30.88</v>
      </c>
      <c r="H181" s="35">
        <f t="shared" si="50"/>
        <v>30.88</v>
      </c>
      <c r="I181" s="39">
        <f t="shared" si="51"/>
        <v>30.88</v>
      </c>
      <c r="J181" s="40">
        <v>0</v>
      </c>
      <c r="K181" s="35"/>
    </row>
    <row r="182" spans="1:11" ht="38.25" outlineLevel="1">
      <c r="A182" s="242"/>
      <c r="B182" s="35" t="s">
        <v>26</v>
      </c>
      <c r="C182" s="35" t="s">
        <v>222</v>
      </c>
      <c r="D182" s="88" t="s">
        <v>223</v>
      </c>
      <c r="E182" s="35" t="s">
        <v>19</v>
      </c>
      <c r="F182" s="37">
        <v>2</v>
      </c>
      <c r="G182" s="35">
        <v>4.6399999999999997</v>
      </c>
      <c r="H182" s="35">
        <f t="shared" si="50"/>
        <v>9.2799999999999994</v>
      </c>
      <c r="I182" s="39">
        <f t="shared" si="51"/>
        <v>9.2799999999999994</v>
      </c>
      <c r="J182" s="40">
        <v>0</v>
      </c>
      <c r="K182" s="35"/>
    </row>
    <row r="183" spans="1:11" outlineLevel="1">
      <c r="A183" s="247"/>
      <c r="B183" s="257"/>
      <c r="C183" s="356"/>
      <c r="D183" s="362" t="s">
        <v>330</v>
      </c>
      <c r="E183" s="356"/>
      <c r="F183" s="357"/>
      <c r="G183" s="358"/>
      <c r="H183" s="359"/>
      <c r="I183" s="359"/>
      <c r="J183" s="360"/>
      <c r="K183" s="361"/>
    </row>
    <row r="184" spans="1:11" outlineLevel="1">
      <c r="A184" s="247"/>
      <c r="B184" s="62"/>
      <c r="C184" s="62"/>
      <c r="D184" s="98"/>
      <c r="E184" s="62"/>
    </row>
    <row r="185" spans="1:11" ht="127.5" outlineLevel="1">
      <c r="A185" s="86">
        <v>30</v>
      </c>
      <c r="B185" s="71" t="s">
        <v>27</v>
      </c>
      <c r="C185" s="82" t="s">
        <v>337</v>
      </c>
      <c r="D185" s="89" t="s">
        <v>338</v>
      </c>
      <c r="E185" s="71" t="s">
        <v>19</v>
      </c>
      <c r="F185" s="72" t="s">
        <v>20</v>
      </c>
      <c r="G185" s="73"/>
      <c r="H185" s="51"/>
      <c r="I185" s="80">
        <f>SUM(I186:I189)</f>
        <v>1898.59</v>
      </c>
      <c r="J185" s="81">
        <f>SUM(J186:J189)</f>
        <v>35.800000000000004</v>
      </c>
      <c r="K185" s="40">
        <f>TRUNC((J185+I185),2)</f>
        <v>1934.39</v>
      </c>
    </row>
    <row r="186" spans="1:11" outlineLevel="1">
      <c r="A186" s="42"/>
      <c r="B186" s="71" t="s">
        <v>21</v>
      </c>
      <c r="C186" s="71" t="s">
        <v>41</v>
      </c>
      <c r="D186" s="89" t="s">
        <v>25</v>
      </c>
      <c r="E186" s="71" t="s">
        <v>17</v>
      </c>
      <c r="F186" s="72">
        <v>1</v>
      </c>
      <c r="G186" s="73">
        <v>20.170000000000002</v>
      </c>
      <c r="H186" s="51"/>
      <c r="I186" s="51">
        <v>0</v>
      </c>
      <c r="J186" s="40">
        <f t="shared" ref="J186:J187" si="52">TRUNC((G186*F186),2)</f>
        <v>20.170000000000002</v>
      </c>
      <c r="K186" s="52"/>
    </row>
    <row r="187" spans="1:11" outlineLevel="1">
      <c r="A187" s="42"/>
      <c r="B187" s="71" t="s">
        <v>21</v>
      </c>
      <c r="C187" s="71" t="s">
        <v>43</v>
      </c>
      <c r="D187" s="89" t="s">
        <v>23</v>
      </c>
      <c r="E187" s="71" t="s">
        <v>17</v>
      </c>
      <c r="F187" s="72">
        <v>1</v>
      </c>
      <c r="G187" s="73">
        <v>15.63</v>
      </c>
      <c r="H187" s="51"/>
      <c r="I187" s="51">
        <v>0</v>
      </c>
      <c r="J187" s="40">
        <f t="shared" si="52"/>
        <v>15.63</v>
      </c>
      <c r="K187" s="52"/>
    </row>
    <row r="188" spans="1:11" ht="51" outlineLevel="1">
      <c r="A188" s="42"/>
      <c r="B188" s="71" t="s">
        <v>21</v>
      </c>
      <c r="C188" s="82" t="s">
        <v>164</v>
      </c>
      <c r="D188" s="239" t="s">
        <v>165</v>
      </c>
      <c r="E188" s="71" t="s">
        <v>22</v>
      </c>
      <c r="F188" s="240">
        <v>1</v>
      </c>
      <c r="G188" s="52">
        <v>123.59</v>
      </c>
      <c r="H188" s="39"/>
      <c r="I188" s="39">
        <f t="shared" ref="I188:I189" si="53">TRUNC((G188*F188),2)</f>
        <v>123.59</v>
      </c>
      <c r="J188" s="40"/>
      <c r="K188" s="52"/>
    </row>
    <row r="189" spans="1:11" ht="63.75" outlineLevel="1">
      <c r="A189" s="42"/>
      <c r="B189" s="71" t="s">
        <v>26</v>
      </c>
      <c r="C189" s="82" t="s">
        <v>29</v>
      </c>
      <c r="D189" s="89" t="s">
        <v>339</v>
      </c>
      <c r="E189" s="71" t="s">
        <v>19</v>
      </c>
      <c r="F189" s="72">
        <v>1</v>
      </c>
      <c r="G189" s="73">
        <v>1775</v>
      </c>
      <c r="H189" s="51"/>
      <c r="I189" s="39">
        <f t="shared" si="53"/>
        <v>1775</v>
      </c>
      <c r="J189" s="52">
        <v>0</v>
      </c>
      <c r="K189" s="52"/>
    </row>
    <row r="190" spans="1:11" outlineLevel="1">
      <c r="A190" s="247"/>
      <c r="B190" s="257"/>
      <c r="C190" s="356"/>
      <c r="D190" s="362" t="s">
        <v>331</v>
      </c>
      <c r="E190" s="356"/>
      <c r="F190" s="357"/>
      <c r="G190" s="358"/>
      <c r="H190" s="359"/>
      <c r="I190" s="359"/>
      <c r="J190" s="360"/>
      <c r="K190" s="361"/>
    </row>
    <row r="191" spans="1:11" outlineLevel="1">
      <c r="A191" s="247"/>
      <c r="B191" s="62"/>
      <c r="C191" s="62"/>
      <c r="D191" s="98"/>
      <c r="E191" s="62"/>
    </row>
    <row r="192" spans="1:11" ht="38.25" outlineLevel="1">
      <c r="A192" s="84">
        <v>31</v>
      </c>
      <c r="B192" s="74" t="s">
        <v>27</v>
      </c>
      <c r="C192" s="74" t="s">
        <v>92</v>
      </c>
      <c r="D192" s="99" t="s">
        <v>291</v>
      </c>
      <c r="E192" s="76" t="s">
        <v>40</v>
      </c>
      <c r="F192" s="77"/>
      <c r="G192" s="78"/>
      <c r="H192" s="79"/>
      <c r="I192" s="80">
        <f>SUM(I193:I195)</f>
        <v>269.92</v>
      </c>
      <c r="J192" s="81">
        <f>SUM(J193:J195)</f>
        <v>7.1300000000000008</v>
      </c>
      <c r="K192" s="40">
        <f>TRUNC((J192+I192),2)</f>
        <v>277.05</v>
      </c>
    </row>
    <row r="193" spans="1:17" outlineLevel="1">
      <c r="B193" s="35" t="s">
        <v>21</v>
      </c>
      <c r="C193" s="35" t="s">
        <v>42</v>
      </c>
      <c r="D193" s="88" t="s">
        <v>24</v>
      </c>
      <c r="E193" s="35" t="s">
        <v>17</v>
      </c>
      <c r="F193" s="37">
        <v>0.2</v>
      </c>
      <c r="G193" s="38">
        <v>15.51</v>
      </c>
      <c r="H193" s="83"/>
      <c r="I193" s="39">
        <v>0</v>
      </c>
      <c r="J193" s="40">
        <f>TRUNC((G193*F193),2)</f>
        <v>3.1</v>
      </c>
      <c r="K193" s="83"/>
    </row>
    <row r="194" spans="1:17" outlineLevel="1">
      <c r="B194" s="35" t="s">
        <v>21</v>
      </c>
      <c r="C194" s="35" t="s">
        <v>41</v>
      </c>
      <c r="D194" s="88" t="s">
        <v>25</v>
      </c>
      <c r="E194" s="35" t="s">
        <v>17</v>
      </c>
      <c r="F194" s="37">
        <v>0.2</v>
      </c>
      <c r="G194" s="73">
        <v>20.170000000000002</v>
      </c>
      <c r="H194" s="83"/>
      <c r="I194" s="39">
        <v>0</v>
      </c>
      <c r="J194" s="40">
        <f>TRUNC((G194*F194),2)</f>
        <v>4.03</v>
      </c>
      <c r="K194" s="83"/>
    </row>
    <row r="195" spans="1:17" ht="25.5" outlineLevel="1">
      <c r="B195" s="35" t="s">
        <v>26</v>
      </c>
      <c r="C195" s="35" t="s">
        <v>332</v>
      </c>
      <c r="D195" s="88" t="s">
        <v>292</v>
      </c>
      <c r="E195" s="35" t="s">
        <v>19</v>
      </c>
      <c r="F195" s="37">
        <v>1</v>
      </c>
      <c r="G195" s="38">
        <v>269.92</v>
      </c>
      <c r="H195" s="39"/>
      <c r="I195" s="39">
        <f t="shared" ref="I195" si="54">TRUNC((G195*F195),2)</f>
        <v>269.92</v>
      </c>
      <c r="J195" s="40">
        <v>0</v>
      </c>
      <c r="K195" s="40"/>
    </row>
    <row r="196" spans="1:17" outlineLevel="1">
      <c r="B196" s="257"/>
      <c r="C196" s="356"/>
      <c r="D196" s="362" t="s">
        <v>333</v>
      </c>
      <c r="E196" s="356"/>
      <c r="F196" s="357"/>
      <c r="G196" s="358"/>
      <c r="H196" s="359"/>
      <c r="I196" s="359"/>
      <c r="J196" s="360"/>
      <c r="K196" s="361"/>
    </row>
    <row r="197" spans="1:17" outlineLevel="1">
      <c r="A197" s="247"/>
      <c r="B197" s="62"/>
      <c r="C197" s="62"/>
      <c r="D197" s="98"/>
      <c r="E197" s="62"/>
    </row>
    <row r="198" spans="1:17" ht="25.5">
      <c r="A198" s="84">
        <v>32</v>
      </c>
      <c r="B198" s="74" t="s">
        <v>27</v>
      </c>
      <c r="C198" s="74">
        <v>72271</v>
      </c>
      <c r="D198" s="99" t="s">
        <v>180</v>
      </c>
      <c r="E198" s="76" t="s">
        <v>40</v>
      </c>
      <c r="F198" s="77"/>
      <c r="G198" s="78"/>
      <c r="H198" s="79"/>
      <c r="I198" s="80">
        <f>SUM(I199:I201)</f>
        <v>4</v>
      </c>
      <c r="J198" s="81">
        <f>SUM(J199:J201)</f>
        <v>7.1300000000000008</v>
      </c>
      <c r="K198" s="40">
        <f>TRUNC((J198+I198),2)</f>
        <v>11.13</v>
      </c>
      <c r="L198" s="11">
        <v>11.13</v>
      </c>
      <c r="O198" s="62"/>
      <c r="P198" s="62"/>
      <c r="Q198" s="62"/>
    </row>
    <row r="199" spans="1:17">
      <c r="B199" s="35" t="s">
        <v>21</v>
      </c>
      <c r="C199" s="35" t="s">
        <v>42</v>
      </c>
      <c r="D199" s="88" t="s">
        <v>24</v>
      </c>
      <c r="E199" s="35" t="s">
        <v>17</v>
      </c>
      <c r="F199" s="37">
        <v>0.2</v>
      </c>
      <c r="G199" s="38">
        <v>15.51</v>
      </c>
      <c r="H199" s="83"/>
      <c r="I199" s="39">
        <v>0</v>
      </c>
      <c r="J199" s="40">
        <f>TRUNC((G199*F199),2)</f>
        <v>3.1</v>
      </c>
      <c r="K199" s="83"/>
      <c r="O199" s="62"/>
      <c r="P199" s="62"/>
      <c r="Q199" s="62"/>
    </row>
    <row r="200" spans="1:17">
      <c r="B200" s="35" t="s">
        <v>21</v>
      </c>
      <c r="C200" s="35" t="s">
        <v>41</v>
      </c>
      <c r="D200" s="88" t="s">
        <v>25</v>
      </c>
      <c r="E200" s="35" t="s">
        <v>17</v>
      </c>
      <c r="F200" s="37">
        <v>0.2</v>
      </c>
      <c r="G200" s="38">
        <v>20.170000000000002</v>
      </c>
      <c r="H200" s="83"/>
      <c r="I200" s="39">
        <v>0</v>
      </c>
      <c r="J200" s="40">
        <f>TRUNC((G200*F200),2)</f>
        <v>4.03</v>
      </c>
      <c r="K200" s="83"/>
      <c r="O200" s="62"/>
      <c r="P200" s="62"/>
      <c r="Q200" s="62"/>
    </row>
    <row r="201" spans="1:17" ht="25.5">
      <c r="B201" s="35" t="s">
        <v>26</v>
      </c>
      <c r="C201" s="35">
        <v>1539</v>
      </c>
      <c r="D201" s="88" t="s">
        <v>181</v>
      </c>
      <c r="E201" s="35" t="s">
        <v>19</v>
      </c>
      <c r="F201" s="37">
        <v>1</v>
      </c>
      <c r="G201" s="38">
        <v>4</v>
      </c>
      <c r="H201" s="39"/>
      <c r="I201" s="39">
        <f t="shared" ref="I201" si="55">TRUNC((G201*F201),2)</f>
        <v>4</v>
      </c>
      <c r="J201" s="40">
        <v>0</v>
      </c>
      <c r="K201" s="40"/>
      <c r="O201" s="62"/>
      <c r="P201" s="62"/>
      <c r="Q201" s="62"/>
    </row>
    <row r="202" spans="1:17">
      <c r="B202" s="45"/>
      <c r="C202" s="45"/>
      <c r="D202" s="94"/>
      <c r="E202" s="45"/>
      <c r="F202" s="47"/>
      <c r="G202" s="48"/>
      <c r="H202" s="49"/>
      <c r="I202" s="49"/>
      <c r="J202" s="50"/>
      <c r="K202" s="50"/>
      <c r="O202" s="62"/>
      <c r="P202" s="62"/>
      <c r="Q202" s="62"/>
    </row>
    <row r="203" spans="1:17" ht="25.5">
      <c r="A203" s="84">
        <v>33</v>
      </c>
      <c r="B203" s="74" t="s">
        <v>27</v>
      </c>
      <c r="C203" s="74">
        <v>72272</v>
      </c>
      <c r="D203" s="99" t="s">
        <v>334</v>
      </c>
      <c r="E203" s="76" t="s">
        <v>40</v>
      </c>
      <c r="F203" s="77"/>
      <c r="G203" s="78"/>
      <c r="H203" s="79"/>
      <c r="I203" s="80">
        <f>SUM(I204:I206)</f>
        <v>5.28</v>
      </c>
      <c r="J203" s="81">
        <f>SUM(J204:J206)</f>
        <v>7.1300000000000008</v>
      </c>
      <c r="K203" s="40">
        <f>TRUNC((J203+I203),2)</f>
        <v>12.41</v>
      </c>
      <c r="L203" s="11">
        <v>12.41</v>
      </c>
      <c r="O203" s="62"/>
      <c r="P203" s="62"/>
      <c r="Q203" s="62"/>
    </row>
    <row r="204" spans="1:17">
      <c r="B204" s="35" t="s">
        <v>21</v>
      </c>
      <c r="C204" s="35" t="s">
        <v>42</v>
      </c>
      <c r="D204" s="88" t="s">
        <v>24</v>
      </c>
      <c r="E204" s="35" t="s">
        <v>17</v>
      </c>
      <c r="F204" s="37">
        <v>0.2</v>
      </c>
      <c r="G204" s="38">
        <v>15.51</v>
      </c>
      <c r="H204" s="83"/>
      <c r="I204" s="39">
        <v>0</v>
      </c>
      <c r="J204" s="40">
        <f t="shared" ref="J204:J205" si="56">TRUNC((G204*F204),2)</f>
        <v>3.1</v>
      </c>
      <c r="K204" s="83"/>
      <c r="O204" s="62"/>
      <c r="P204" s="62"/>
      <c r="Q204" s="62"/>
    </row>
    <row r="205" spans="1:17">
      <c r="B205" s="35" t="s">
        <v>21</v>
      </c>
      <c r="C205" s="35" t="s">
        <v>41</v>
      </c>
      <c r="D205" s="88" t="s">
        <v>25</v>
      </c>
      <c r="E205" s="35" t="s">
        <v>17</v>
      </c>
      <c r="F205" s="37">
        <v>0.2</v>
      </c>
      <c r="G205" s="38">
        <v>20.170000000000002</v>
      </c>
      <c r="H205" s="83"/>
      <c r="I205" s="39">
        <v>0</v>
      </c>
      <c r="J205" s="40">
        <f t="shared" si="56"/>
        <v>4.03</v>
      </c>
      <c r="K205" s="83"/>
      <c r="O205" s="62"/>
      <c r="P205" s="62"/>
      <c r="Q205" s="62"/>
    </row>
    <row r="206" spans="1:17" ht="25.5">
      <c r="B206" s="35" t="s">
        <v>26</v>
      </c>
      <c r="C206" s="35">
        <v>1550</v>
      </c>
      <c r="D206" s="88" t="s">
        <v>335</v>
      </c>
      <c r="E206" s="35" t="s">
        <v>19</v>
      </c>
      <c r="F206" s="37">
        <v>1</v>
      </c>
      <c r="G206" s="38">
        <v>5.28</v>
      </c>
      <c r="H206" s="39"/>
      <c r="I206" s="39">
        <f t="shared" ref="I206" si="57">TRUNC((G206*F206),2)</f>
        <v>5.28</v>
      </c>
      <c r="J206" s="40">
        <v>0</v>
      </c>
      <c r="K206" s="40"/>
      <c r="O206" s="62"/>
      <c r="P206" s="62"/>
      <c r="Q206" s="62"/>
    </row>
    <row r="207" spans="1:17">
      <c r="B207" s="45"/>
      <c r="C207" s="45"/>
      <c r="D207" s="94"/>
      <c r="E207" s="45"/>
      <c r="F207" s="47"/>
      <c r="G207" s="48"/>
      <c r="H207" s="49"/>
      <c r="I207" s="49"/>
      <c r="J207" s="50"/>
      <c r="K207" s="50"/>
      <c r="O207" s="62"/>
      <c r="P207" s="62"/>
      <c r="Q207" s="62"/>
    </row>
    <row r="208" spans="1:17" ht="25.5">
      <c r="A208" s="84">
        <v>34</v>
      </c>
      <c r="B208" s="74" t="s">
        <v>27</v>
      </c>
      <c r="C208" s="74">
        <v>72259</v>
      </c>
      <c r="D208" s="99" t="s">
        <v>128</v>
      </c>
      <c r="E208" s="76" t="s">
        <v>40</v>
      </c>
      <c r="F208" s="77"/>
      <c r="G208" s="78"/>
      <c r="H208" s="79"/>
      <c r="I208" s="80">
        <f>SUM(I209:I211)</f>
        <v>2.85</v>
      </c>
      <c r="J208" s="81">
        <f>SUM(J209:J211)</f>
        <v>10.7</v>
      </c>
      <c r="K208" s="40">
        <f>TRUNC((J208+I208),2)</f>
        <v>13.55</v>
      </c>
      <c r="L208" s="11">
        <v>13.55</v>
      </c>
      <c r="O208" s="62"/>
      <c r="P208" s="62"/>
      <c r="Q208" s="62"/>
    </row>
    <row r="209" spans="1:17">
      <c r="B209" s="35" t="s">
        <v>21</v>
      </c>
      <c r="C209" s="35" t="s">
        <v>42</v>
      </c>
      <c r="D209" s="88" t="s">
        <v>24</v>
      </c>
      <c r="E209" s="35" t="s">
        <v>17</v>
      </c>
      <c r="F209" s="37">
        <v>0.3</v>
      </c>
      <c r="G209" s="38">
        <v>15.51</v>
      </c>
      <c r="H209" s="83"/>
      <c r="I209" s="39">
        <v>0</v>
      </c>
      <c r="J209" s="40">
        <f t="shared" ref="J209:J210" si="58">TRUNC((G209*F209),2)</f>
        <v>4.6500000000000004</v>
      </c>
      <c r="K209" s="83"/>
      <c r="O209" s="62"/>
      <c r="P209" s="62"/>
      <c r="Q209" s="62"/>
    </row>
    <row r="210" spans="1:17">
      <c r="B210" s="35" t="s">
        <v>21</v>
      </c>
      <c r="C210" s="35" t="s">
        <v>41</v>
      </c>
      <c r="D210" s="88" t="s">
        <v>25</v>
      </c>
      <c r="E210" s="35" t="s">
        <v>17</v>
      </c>
      <c r="F210" s="37">
        <v>0.3</v>
      </c>
      <c r="G210" s="38">
        <v>20.170000000000002</v>
      </c>
      <c r="H210" s="83"/>
      <c r="I210" s="39">
        <v>0</v>
      </c>
      <c r="J210" s="40">
        <f t="shared" si="58"/>
        <v>6.05</v>
      </c>
      <c r="K210" s="83"/>
      <c r="O210" s="62"/>
      <c r="P210" s="62"/>
      <c r="Q210" s="62"/>
    </row>
    <row r="211" spans="1:17" ht="25.5">
      <c r="B211" s="35" t="s">
        <v>26</v>
      </c>
      <c r="C211" s="35">
        <v>1535</v>
      </c>
      <c r="D211" s="88" t="s">
        <v>129</v>
      </c>
      <c r="E211" s="35" t="s">
        <v>19</v>
      </c>
      <c r="F211" s="37">
        <v>1</v>
      </c>
      <c r="G211" s="38">
        <v>2.85</v>
      </c>
      <c r="H211" s="39"/>
      <c r="I211" s="39">
        <f t="shared" ref="I211" si="59">TRUNC((G211*F211),2)</f>
        <v>2.85</v>
      </c>
      <c r="J211" s="40">
        <v>0</v>
      </c>
      <c r="K211" s="40"/>
      <c r="O211" s="62"/>
      <c r="P211" s="62"/>
      <c r="Q211" s="62"/>
    </row>
    <row r="212" spans="1:17">
      <c r="B212" s="45"/>
      <c r="C212" s="45"/>
      <c r="D212" s="94"/>
      <c r="E212" s="45"/>
      <c r="F212" s="47"/>
      <c r="G212" s="48"/>
      <c r="H212" s="49"/>
      <c r="I212" s="49"/>
      <c r="J212" s="50"/>
      <c r="K212" s="50"/>
      <c r="O212" s="62"/>
      <c r="P212" s="62"/>
      <c r="Q212" s="62"/>
    </row>
    <row r="213" spans="1:17" ht="25.5">
      <c r="A213" s="84">
        <v>35</v>
      </c>
      <c r="B213" s="74" t="s">
        <v>27</v>
      </c>
      <c r="C213" s="74">
        <v>72260</v>
      </c>
      <c r="D213" s="99" t="s">
        <v>182</v>
      </c>
      <c r="E213" s="76" t="s">
        <v>40</v>
      </c>
      <c r="F213" s="77"/>
      <c r="G213" s="78"/>
      <c r="H213" s="79"/>
      <c r="I213" s="80">
        <f>SUM(I214:I216)</f>
        <v>2.79</v>
      </c>
      <c r="J213" s="81">
        <f>SUM(J214:J216)</f>
        <v>10.7</v>
      </c>
      <c r="K213" s="40">
        <f>TRUNC((J213+I213),2)</f>
        <v>13.49</v>
      </c>
      <c r="L213" s="11">
        <v>13.49</v>
      </c>
      <c r="O213" s="62"/>
      <c r="P213" s="62"/>
      <c r="Q213" s="62"/>
    </row>
    <row r="214" spans="1:17">
      <c r="B214" s="35" t="s">
        <v>21</v>
      </c>
      <c r="C214" s="35" t="s">
        <v>42</v>
      </c>
      <c r="D214" s="88" t="s">
        <v>24</v>
      </c>
      <c r="E214" s="35" t="s">
        <v>17</v>
      </c>
      <c r="F214" s="37">
        <v>0.3</v>
      </c>
      <c r="G214" s="38">
        <v>15.51</v>
      </c>
      <c r="H214" s="83"/>
      <c r="I214" s="39">
        <v>0</v>
      </c>
      <c r="J214" s="40">
        <f t="shared" ref="J214:J215" si="60">TRUNC((G214*F214),2)</f>
        <v>4.6500000000000004</v>
      </c>
      <c r="K214" s="83"/>
      <c r="O214" s="62"/>
      <c r="P214" s="62"/>
      <c r="Q214" s="62"/>
    </row>
    <row r="215" spans="1:17">
      <c r="B215" s="35" t="s">
        <v>21</v>
      </c>
      <c r="C215" s="35" t="s">
        <v>41</v>
      </c>
      <c r="D215" s="88" t="s">
        <v>25</v>
      </c>
      <c r="E215" s="35" t="s">
        <v>17</v>
      </c>
      <c r="F215" s="37">
        <v>0.3</v>
      </c>
      <c r="G215" s="38">
        <v>20.170000000000002</v>
      </c>
      <c r="H215" s="83"/>
      <c r="I215" s="39">
        <v>0</v>
      </c>
      <c r="J215" s="40">
        <f t="shared" si="60"/>
        <v>6.05</v>
      </c>
      <c r="K215" s="83"/>
      <c r="O215" s="62"/>
      <c r="P215" s="62"/>
      <c r="Q215" s="62"/>
    </row>
    <row r="216" spans="1:17" ht="25.5">
      <c r="B216" s="35" t="s">
        <v>26</v>
      </c>
      <c r="C216" s="35">
        <v>1585</v>
      </c>
      <c r="D216" s="88" t="s">
        <v>183</v>
      </c>
      <c r="E216" s="35" t="s">
        <v>19</v>
      </c>
      <c r="F216" s="37">
        <v>1</v>
      </c>
      <c r="G216" s="38">
        <v>2.79</v>
      </c>
      <c r="H216" s="39"/>
      <c r="I216" s="39">
        <f t="shared" ref="I216" si="61">TRUNC((G216*F216),2)</f>
        <v>2.79</v>
      </c>
      <c r="J216" s="40">
        <v>0</v>
      </c>
      <c r="K216" s="40"/>
      <c r="O216" s="62"/>
      <c r="P216" s="62"/>
      <c r="Q216" s="62"/>
    </row>
    <row r="217" spans="1:17">
      <c r="B217" s="45"/>
      <c r="C217" s="45"/>
      <c r="D217" s="94"/>
      <c r="E217" s="45"/>
      <c r="F217" s="47"/>
      <c r="G217" s="48"/>
      <c r="H217" s="49"/>
      <c r="I217" s="49"/>
      <c r="J217" s="50"/>
      <c r="K217" s="50"/>
      <c r="O217" s="62"/>
      <c r="P217" s="62"/>
      <c r="Q217" s="62"/>
    </row>
    <row r="218" spans="1:17" ht="25.5">
      <c r="A218" s="84">
        <v>36</v>
      </c>
      <c r="B218" s="74" t="s">
        <v>27</v>
      </c>
      <c r="C218" s="75" t="s">
        <v>92</v>
      </c>
      <c r="D218" s="99" t="s">
        <v>105</v>
      </c>
      <c r="E218" s="76" t="s">
        <v>1</v>
      </c>
      <c r="F218" s="77"/>
      <c r="G218" s="78"/>
      <c r="H218" s="79"/>
      <c r="I218" s="80">
        <f>SUM(I219:I221)</f>
        <v>1.22</v>
      </c>
      <c r="J218" s="81">
        <f>SUM(J219:J221)</f>
        <v>2.4900000000000002</v>
      </c>
      <c r="K218" s="40">
        <f>TRUNC((J218+I218),2)</f>
        <v>3.71</v>
      </c>
      <c r="L218" s="62"/>
    </row>
    <row r="219" spans="1:17">
      <c r="A219" s="42"/>
      <c r="B219" s="35" t="s">
        <v>21</v>
      </c>
      <c r="C219" s="82" t="s">
        <v>41</v>
      </c>
      <c r="D219" s="89" t="s">
        <v>25</v>
      </c>
      <c r="E219" s="71" t="s">
        <v>17</v>
      </c>
      <c r="F219" s="72">
        <v>7.0000000000000007E-2</v>
      </c>
      <c r="G219" s="38">
        <v>15.51</v>
      </c>
      <c r="H219" s="83"/>
      <c r="I219" s="39">
        <v>0</v>
      </c>
      <c r="J219" s="40">
        <f t="shared" ref="J219:J220" si="62">TRUNC((G219*F219),2)</f>
        <v>1.08</v>
      </c>
      <c r="K219" s="83"/>
    </row>
    <row r="220" spans="1:17">
      <c r="A220" s="42"/>
      <c r="B220" s="35" t="s">
        <v>21</v>
      </c>
      <c r="C220" s="82" t="s">
        <v>43</v>
      </c>
      <c r="D220" s="89" t="s">
        <v>23</v>
      </c>
      <c r="E220" s="71" t="s">
        <v>17</v>
      </c>
      <c r="F220" s="72">
        <v>7.0000000000000007E-2</v>
      </c>
      <c r="G220" s="38">
        <v>20.170000000000002</v>
      </c>
      <c r="H220" s="83"/>
      <c r="I220" s="39">
        <v>0</v>
      </c>
      <c r="J220" s="40">
        <f t="shared" si="62"/>
        <v>1.41</v>
      </c>
      <c r="K220" s="83"/>
    </row>
    <row r="221" spans="1:17" ht="25.5">
      <c r="A221" s="42"/>
      <c r="B221" s="35" t="s">
        <v>48</v>
      </c>
      <c r="C221" s="82">
        <v>404</v>
      </c>
      <c r="D221" s="89" t="s">
        <v>106</v>
      </c>
      <c r="E221" s="71" t="s">
        <v>1</v>
      </c>
      <c r="F221" s="72">
        <v>1</v>
      </c>
      <c r="G221" s="73">
        <v>1.22</v>
      </c>
      <c r="H221" s="83"/>
      <c r="I221" s="39">
        <f t="shared" ref="I221" si="63">TRUNC((G221*F221),2)</f>
        <v>1.22</v>
      </c>
      <c r="J221" s="40">
        <v>0</v>
      </c>
      <c r="K221" s="83"/>
    </row>
    <row r="222" spans="1:17">
      <c r="A222" s="44"/>
      <c r="B222" s="257"/>
      <c r="C222" s="356"/>
      <c r="D222" s="362" t="s">
        <v>333</v>
      </c>
      <c r="E222" s="356"/>
      <c r="F222" s="357"/>
      <c r="G222" s="358"/>
      <c r="H222" s="359"/>
      <c r="I222" s="359"/>
      <c r="J222" s="360"/>
      <c r="K222" s="361"/>
    </row>
  </sheetData>
  <mergeCells count="13">
    <mergeCell ref="A6:K6"/>
    <mergeCell ref="A8:A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  <mergeCell ref="E7:K7"/>
  </mergeCells>
  <conditionalFormatting sqref="H14 H10:J10 I26:K26 I16:I17 K15:K17">
    <cfRule type="expression" dxfId="407" priority="10244" stopIfTrue="1">
      <formula>AND($B10&lt;&gt;"COMPOSICAO",$B10&lt;&gt;"INSUMO",$B10&lt;&gt;"")</formula>
    </cfRule>
    <cfRule type="expression" dxfId="406" priority="10245" stopIfTrue="1">
      <formula>AND(OR($B10="COMPOSICAO",$B10="INSUMO",$B10&lt;&gt;""),$B10&lt;&gt;"")</formula>
    </cfRule>
  </conditionalFormatting>
  <conditionalFormatting sqref="H16">
    <cfRule type="expression" dxfId="405" priority="10048" stopIfTrue="1">
      <formula>AND($B16&lt;&gt;"COMPOSICAO",$B16&lt;&gt;"INSUMO",$B16&lt;&gt;"")</formula>
    </cfRule>
    <cfRule type="expression" dxfId="404" priority="10049" stopIfTrue="1">
      <formula>AND(OR($B16="COMPOSICAO",$B16="INSUMO",$B16&lt;&gt;""),$B16&lt;&gt;"")</formula>
    </cfRule>
  </conditionalFormatting>
  <conditionalFormatting sqref="I14:J14">
    <cfRule type="expression" dxfId="403" priority="10036" stopIfTrue="1">
      <formula>AND($B14&lt;&gt;"COMPOSICAO",$B14&lt;&gt;"INSUMO",$B14&lt;&gt;"")</formula>
    </cfRule>
    <cfRule type="expression" dxfId="402" priority="10037" stopIfTrue="1">
      <formula>AND(OR($B14="COMPOSICAO",$B14="INSUMO",$B14&lt;&gt;""),$B14&lt;&gt;"")</formula>
    </cfRule>
  </conditionalFormatting>
  <conditionalFormatting sqref="B14:G14">
    <cfRule type="expression" dxfId="401" priority="9938" stopIfTrue="1">
      <formula>AND($B14&lt;&gt;"COMPOSICAO",$B14&lt;&gt;"INSUMO",$B14&lt;&gt;"")</formula>
    </cfRule>
    <cfRule type="expression" dxfId="400" priority="9939" stopIfTrue="1">
      <formula>AND(OR($B14="COMPOSICAO",$B14="INSUMO",$B14&lt;&gt;""),$B14&lt;&gt;"")</formula>
    </cfRule>
  </conditionalFormatting>
  <conditionalFormatting sqref="B10:D10 F10:G10">
    <cfRule type="expression" dxfId="399" priority="9906" stopIfTrue="1">
      <formula>AND($B10&lt;&gt;"COMPOSICAO",$B10&lt;&gt;"INSUMO",$B10&lt;&gt;"")</formula>
    </cfRule>
    <cfRule type="expression" dxfId="398" priority="9907" stopIfTrue="1">
      <formula>AND(OR($B10="COMPOSICAO",$B10="INSUMO",$B10&lt;&gt;""),$B10&lt;&gt;"")</formula>
    </cfRule>
  </conditionalFormatting>
  <conditionalFormatting sqref="K10">
    <cfRule type="expression" dxfId="397" priority="9902" stopIfTrue="1">
      <formula>AND($B10&lt;&gt;"COMPOSICAO",$B10&lt;&gt;"INSUMO",$B10&lt;&gt;"")</formula>
    </cfRule>
    <cfRule type="expression" dxfId="396" priority="9903" stopIfTrue="1">
      <formula>AND(OR($B10="COMPOSICAO",$B10="INSUMO",$B10&lt;&gt;""),$B10&lt;&gt;"")</formula>
    </cfRule>
  </conditionalFormatting>
  <conditionalFormatting sqref="E10">
    <cfRule type="expression" dxfId="395" priority="9884" stopIfTrue="1">
      <formula>AND($B10&lt;&gt;"COMPOSICAO",$B10&lt;&gt;"INSUMO",$B10&lt;&gt;"")</formula>
    </cfRule>
    <cfRule type="expression" dxfId="394" priority="9885" stopIfTrue="1">
      <formula>AND(OR($B10="COMPOSICAO",$B10="INSUMO",$B10&lt;&gt;""),$B10&lt;&gt;"")</formula>
    </cfRule>
  </conditionalFormatting>
  <conditionalFormatting sqref="J17">
    <cfRule type="expression" dxfId="393" priority="9864" stopIfTrue="1">
      <formula>AND($B17&lt;&gt;"COMPOSICAO",$B17&lt;&gt;"INSUMO",$B17&lt;&gt;"")</formula>
    </cfRule>
    <cfRule type="expression" dxfId="392" priority="9865" stopIfTrue="1">
      <formula>AND(OR($B17="COMPOSICAO",$B17="INSUMO",$B17&lt;&gt;""),$B17&lt;&gt;"")</formula>
    </cfRule>
  </conditionalFormatting>
  <conditionalFormatting sqref="H18">
    <cfRule type="expression" dxfId="391" priority="9558" stopIfTrue="1">
      <formula>AND($B18&lt;&gt;"COMPOSICAO",$B18&lt;&gt;"INSUMO",$B18&lt;&gt;"")</formula>
    </cfRule>
    <cfRule type="expression" dxfId="390" priority="9559" stopIfTrue="1">
      <formula>AND(OR($B18="COMPOSICAO",$B18="INSUMO",$B18&lt;&gt;""),$B18&lt;&gt;"")</formula>
    </cfRule>
  </conditionalFormatting>
  <conditionalFormatting sqref="I18:J18">
    <cfRule type="expression" dxfId="389" priority="9556" stopIfTrue="1">
      <formula>AND($B18&lt;&gt;"COMPOSICAO",$B18&lt;&gt;"INSUMO",$B18&lt;&gt;"")</formula>
    </cfRule>
    <cfRule type="expression" dxfId="388" priority="9557" stopIfTrue="1">
      <formula>AND(OR($B18="COMPOSICAO",$B18="INSUMO",$B18&lt;&gt;""),$B18&lt;&gt;"")</formula>
    </cfRule>
  </conditionalFormatting>
  <conditionalFormatting sqref="B18:C18">
    <cfRule type="expression" dxfId="387" priority="9564" stopIfTrue="1">
      <formula>AND($B18&lt;&gt;"COMPOSICAO",$B18&lt;&gt;"INSUMO",$B18&lt;&gt;"")</formula>
    </cfRule>
    <cfRule type="expression" dxfId="386" priority="9565" stopIfTrue="1">
      <formula>AND(OR($B18="COMPOSICAO",$B18="INSUMO",$B18&lt;&gt;""),$B18&lt;&gt;"")</formula>
    </cfRule>
  </conditionalFormatting>
  <conditionalFormatting sqref="D18">
    <cfRule type="expression" dxfId="385" priority="9562" stopIfTrue="1">
      <formula>AND($B18&lt;&gt;"COMPOSICAO",$B18&lt;&gt;"INSUMO",$B18&lt;&gt;"")</formula>
    </cfRule>
    <cfRule type="expression" dxfId="384" priority="9563" stopIfTrue="1">
      <formula>AND(OR($B18="COMPOSICAO",$B18="INSUMO",$B18&lt;&gt;""),$B18&lt;&gt;"")</formula>
    </cfRule>
  </conditionalFormatting>
  <conditionalFormatting sqref="E18:G18">
    <cfRule type="expression" dxfId="383" priority="9560" stopIfTrue="1">
      <formula>AND($B18&lt;&gt;"COMPOSICAO",$B18&lt;&gt;"INSUMO",$B18&lt;&gt;"")</formula>
    </cfRule>
    <cfRule type="expression" dxfId="382" priority="9561" stopIfTrue="1">
      <formula>AND(OR($B18="COMPOSICAO",$B18="INSUMO",$B18&lt;&gt;""),$B18&lt;&gt;"")</formula>
    </cfRule>
  </conditionalFormatting>
  <conditionalFormatting sqref="H19">
    <cfRule type="expression" dxfId="381" priority="9552" stopIfTrue="1">
      <formula>AND($B19&lt;&gt;"COMPOSICAO",$B19&lt;&gt;"INSUMO",$B19&lt;&gt;"")</formula>
    </cfRule>
    <cfRule type="expression" dxfId="380" priority="9553" stopIfTrue="1">
      <formula>AND(OR($B19="COMPOSICAO",$B19="INSUMO",$B19&lt;&gt;""),$B19&lt;&gt;"")</formula>
    </cfRule>
  </conditionalFormatting>
  <conditionalFormatting sqref="I19:I20">
    <cfRule type="expression" dxfId="379" priority="9550" stopIfTrue="1">
      <formula>AND($B19&lt;&gt;"COMPOSICAO",$B19&lt;&gt;"INSUMO",$B19&lt;&gt;"")</formula>
    </cfRule>
    <cfRule type="expression" dxfId="378" priority="9551" stopIfTrue="1">
      <formula>AND(OR($B19="COMPOSICAO",$B19="INSUMO",$B19&lt;&gt;""),$B19&lt;&gt;"")</formula>
    </cfRule>
  </conditionalFormatting>
  <conditionalFormatting sqref="K19:K20">
    <cfRule type="expression" dxfId="377" priority="9548" stopIfTrue="1">
      <formula>AND($B19&lt;&gt;"COMPOSICAO",$B19&lt;&gt;"INSUMO",$B19&lt;&gt;"")</formula>
    </cfRule>
    <cfRule type="expression" dxfId="376" priority="9549" stopIfTrue="1">
      <formula>AND(OR($B19="COMPOSICAO",$B19="INSUMO",$B19&lt;&gt;""),$B19&lt;&gt;"")</formula>
    </cfRule>
  </conditionalFormatting>
  <conditionalFormatting sqref="I218">
    <cfRule type="expression" dxfId="375" priority="9279" stopIfTrue="1">
      <formula>AND($B218&lt;&gt;"COMPOSICAO",$B218&lt;&gt;"INSUMO",$B218&lt;&gt;"")</formula>
    </cfRule>
    <cfRule type="expression" dxfId="374" priority="9280" stopIfTrue="1">
      <formula>AND(OR($B218="COMPOSICAO",$B218="INSUMO",$B218&lt;&gt;""),$B218&lt;&gt;"")</formula>
    </cfRule>
  </conditionalFormatting>
  <conditionalFormatting sqref="J218">
    <cfRule type="expression" dxfId="373" priority="9277" stopIfTrue="1">
      <formula>AND($B218&lt;&gt;"COMPOSICAO",$B218&lt;&gt;"INSUMO",$B218&lt;&gt;"")</formula>
    </cfRule>
    <cfRule type="expression" dxfId="372" priority="9278" stopIfTrue="1">
      <formula>AND(OR($B218="COMPOSICAO",$B218="INSUMO",$B218&lt;&gt;""),$B218&lt;&gt;"")</formula>
    </cfRule>
  </conditionalFormatting>
  <conditionalFormatting sqref="K14">
    <cfRule type="expression" dxfId="371" priority="8805" stopIfTrue="1">
      <formula>AND($B14&lt;&gt;"COMPOSICAO",$B14&lt;&gt;"INSUMO",$B14&lt;&gt;"")</formula>
    </cfRule>
    <cfRule type="expression" dxfId="370" priority="8806" stopIfTrue="1">
      <formula>AND(OR($B14="COMPOSICAO",$B14="INSUMO",$B14&lt;&gt;""),$B14&lt;&gt;"")</formula>
    </cfRule>
  </conditionalFormatting>
  <conditionalFormatting sqref="K18">
    <cfRule type="expression" dxfId="369" priority="8803" stopIfTrue="1">
      <formula>AND($B18&lt;&gt;"COMPOSICAO",$B18&lt;&gt;"INSUMO",$B18&lt;&gt;"")</formula>
    </cfRule>
    <cfRule type="expression" dxfId="368" priority="8804" stopIfTrue="1">
      <formula>AND(OR($B18="COMPOSICAO",$B18="INSUMO",$B18&lt;&gt;""),$B18&lt;&gt;"")</formula>
    </cfRule>
  </conditionalFormatting>
  <conditionalFormatting sqref="K218">
    <cfRule type="expression" dxfId="367" priority="8715" stopIfTrue="1">
      <formula>AND($B218&lt;&gt;"COMPOSICAO",$B218&lt;&gt;"INSUMO",$B218&lt;&gt;"")</formula>
    </cfRule>
    <cfRule type="expression" dxfId="366" priority="8716" stopIfTrue="1">
      <formula>AND(OR($B218="COMPOSICAO",$B218="INSUMO",$B218&lt;&gt;""),$B218&lt;&gt;"")</formula>
    </cfRule>
  </conditionalFormatting>
  <conditionalFormatting sqref="H15">
    <cfRule type="expression" dxfId="365" priority="8705" stopIfTrue="1">
      <formula>AND($B15&lt;&gt;"COMPOSICAO",$B15&lt;&gt;"INSUMO",$B15&lt;&gt;"")</formula>
    </cfRule>
    <cfRule type="expression" dxfId="364" priority="8706" stopIfTrue="1">
      <formula>AND(OR($B15="COMPOSICAO",$B15="INSUMO",$B15&lt;&gt;""),$B15&lt;&gt;"")</formula>
    </cfRule>
  </conditionalFormatting>
  <conditionalFormatting sqref="D31:G31 K31">
    <cfRule type="expression" dxfId="363" priority="8605" stopIfTrue="1">
      <formula>AND($B31&lt;&gt;"COMPOSICAO",$B31&lt;&gt;"INSUMO",$B31&lt;&gt;"")</formula>
    </cfRule>
    <cfRule type="expression" dxfId="362" priority="8606" stopIfTrue="1">
      <formula>AND(OR($B31="COMPOSICAO",$B31="INSUMO",$B31&lt;&gt;""),$B31&lt;&gt;"")</formula>
    </cfRule>
  </conditionalFormatting>
  <conditionalFormatting sqref="B27:C27">
    <cfRule type="expression" dxfId="361" priority="8603" stopIfTrue="1">
      <formula>AND($B27&lt;&gt;"COMPOSICAO",$B27&lt;&gt;"INSUMO",$B27&lt;&gt;"")</formula>
    </cfRule>
    <cfRule type="expression" dxfId="360" priority="8604" stopIfTrue="1">
      <formula>AND(OR($B27="COMPOSICAO",$B27="INSUMO",$B27&lt;&gt;""),$B27&lt;&gt;"")</formula>
    </cfRule>
  </conditionalFormatting>
  <conditionalFormatting sqref="D27">
    <cfRule type="expression" dxfId="359" priority="8601" stopIfTrue="1">
      <formula>AND($B27&lt;&gt;"COMPOSICAO",$B27&lt;&gt;"INSUMO",$B27&lt;&gt;"")</formula>
    </cfRule>
    <cfRule type="expression" dxfId="358" priority="8602" stopIfTrue="1">
      <formula>AND(OR($B27="COMPOSICAO",$B27="INSUMO",$B27&lt;&gt;""),$B27&lt;&gt;"")</formula>
    </cfRule>
  </conditionalFormatting>
  <conditionalFormatting sqref="E27:H27">
    <cfRule type="expression" dxfId="357" priority="8599" stopIfTrue="1">
      <formula>AND($B27&lt;&gt;"COMPOSICAO",$B27&lt;&gt;"INSUMO",$B27&lt;&gt;"")</formula>
    </cfRule>
    <cfRule type="expression" dxfId="356" priority="8600" stopIfTrue="1">
      <formula>AND(OR($B27="COMPOSICAO",$B27="INSUMO",$B27&lt;&gt;""),$B27&lt;&gt;"")</formula>
    </cfRule>
  </conditionalFormatting>
  <conditionalFormatting sqref="I27:J27">
    <cfRule type="expression" dxfId="355" priority="8597" stopIfTrue="1">
      <formula>AND($B27&lt;&gt;"COMPOSICAO",$B27&lt;&gt;"INSUMO",$B27&lt;&gt;"")</formula>
    </cfRule>
    <cfRule type="expression" dxfId="354" priority="8598" stopIfTrue="1">
      <formula>AND(OR($B27="COMPOSICAO",$B27="INSUMO",$B27&lt;&gt;""),$B27&lt;&gt;"")</formula>
    </cfRule>
  </conditionalFormatting>
  <conditionalFormatting sqref="D28">
    <cfRule type="expression" dxfId="353" priority="8595" stopIfTrue="1">
      <formula>AND($B28&lt;&gt;"COMPOSICAO",$B28&lt;&gt;"INSUMO",$B28&lt;&gt;"")</formula>
    </cfRule>
    <cfRule type="expression" dxfId="352" priority="8596" stopIfTrue="1">
      <formula>AND(OR($B28="COMPOSICAO",$B28="INSUMO",$B28&lt;&gt;""),$B28&lt;&gt;"")</formula>
    </cfRule>
  </conditionalFormatting>
  <conditionalFormatting sqref="E28:G28">
    <cfRule type="expression" dxfId="351" priority="8593" stopIfTrue="1">
      <formula>AND($B28&lt;&gt;"COMPOSICAO",$B28&lt;&gt;"INSUMO",$B28&lt;&gt;"")</formula>
    </cfRule>
    <cfRule type="expression" dxfId="350" priority="8594" stopIfTrue="1">
      <formula>AND(OR($B28="COMPOSICAO",$B28="INSUMO",$B28&lt;&gt;""),$B28&lt;&gt;"")</formula>
    </cfRule>
  </conditionalFormatting>
  <conditionalFormatting sqref="K28">
    <cfRule type="expression" dxfId="349" priority="8591" stopIfTrue="1">
      <formula>AND($B28&lt;&gt;"COMPOSICAO",$B28&lt;&gt;"INSUMO",$B28&lt;&gt;"")</formula>
    </cfRule>
    <cfRule type="expression" dxfId="348" priority="8592" stopIfTrue="1">
      <formula>AND(OR($B28="COMPOSICAO",$B28="INSUMO",$B28&lt;&gt;""),$B28&lt;&gt;"")</formula>
    </cfRule>
  </conditionalFormatting>
  <conditionalFormatting sqref="B30">
    <cfRule type="expression" dxfId="347" priority="8589" stopIfTrue="1">
      <formula>AND($B30&lt;&gt;"COMPOSICAO",$B30&lt;&gt;"INSUMO",$B30&lt;&gt;"")</formula>
    </cfRule>
    <cfRule type="expression" dxfId="346" priority="8590" stopIfTrue="1">
      <formula>AND(OR($B30="COMPOSICAO",$B30="INSUMO",$B30&lt;&gt;""),$B30&lt;&gt;"")</formula>
    </cfRule>
  </conditionalFormatting>
  <conditionalFormatting sqref="D30">
    <cfRule type="expression" dxfId="345" priority="8587" stopIfTrue="1">
      <formula>AND($B30&lt;&gt;"COMPOSICAO",$B30&lt;&gt;"INSUMO",$B30&lt;&gt;"")</formula>
    </cfRule>
    <cfRule type="expression" dxfId="344" priority="8588" stopIfTrue="1">
      <formula>AND(OR($B30="COMPOSICAO",$B30="INSUMO",$B30&lt;&gt;""),$B30&lt;&gt;"")</formula>
    </cfRule>
  </conditionalFormatting>
  <conditionalFormatting sqref="E30:H30">
    <cfRule type="expression" dxfId="343" priority="8585" stopIfTrue="1">
      <formula>AND($B30&lt;&gt;"COMPOSICAO",$B30&lt;&gt;"INSUMO",$B30&lt;&gt;"")</formula>
    </cfRule>
    <cfRule type="expression" dxfId="342" priority="8586" stopIfTrue="1">
      <formula>AND(OR($B30="COMPOSICAO",$B30="INSUMO",$B30&lt;&gt;""),$B30&lt;&gt;"")</formula>
    </cfRule>
  </conditionalFormatting>
  <conditionalFormatting sqref="I30">
    <cfRule type="expression" dxfId="341" priority="8583" stopIfTrue="1">
      <formula>AND($B30&lt;&gt;"COMPOSICAO",$B30&lt;&gt;"INSUMO",$B30&lt;&gt;"")</formula>
    </cfRule>
    <cfRule type="expression" dxfId="340" priority="8584" stopIfTrue="1">
      <formula>AND(OR($B30="COMPOSICAO",$B30="INSUMO",$B30&lt;&gt;""),$B30&lt;&gt;"")</formula>
    </cfRule>
  </conditionalFormatting>
  <conditionalFormatting sqref="J30">
    <cfRule type="expression" dxfId="339" priority="8581" stopIfTrue="1">
      <formula>AND($B30&lt;&gt;"COMPOSICAO",$B30&lt;&gt;"INSUMO",$B30&lt;&gt;"")</formula>
    </cfRule>
    <cfRule type="expression" dxfId="338" priority="8582" stopIfTrue="1">
      <formula>AND(OR($B30="COMPOSICAO",$B30="INSUMO",$B30&lt;&gt;""),$B30&lt;&gt;"")</formula>
    </cfRule>
  </conditionalFormatting>
  <conditionalFormatting sqref="K27">
    <cfRule type="expression" dxfId="337" priority="8579" stopIfTrue="1">
      <formula>AND($B27&lt;&gt;"COMPOSICAO",$B27&lt;&gt;"INSUMO",$B27&lt;&gt;"")</formula>
    </cfRule>
    <cfRule type="expression" dxfId="336" priority="8580" stopIfTrue="1">
      <formula>AND(OR($B27="COMPOSICAO",$B27="INSUMO",$B27&lt;&gt;""),$B27&lt;&gt;"")</formula>
    </cfRule>
  </conditionalFormatting>
  <conditionalFormatting sqref="K30">
    <cfRule type="expression" dxfId="335" priority="8577" stopIfTrue="1">
      <formula>AND($B30&lt;&gt;"COMPOSICAO",$B30&lt;&gt;"INSUMO",$B30&lt;&gt;"")</formula>
    </cfRule>
    <cfRule type="expression" dxfId="334" priority="8578" stopIfTrue="1">
      <formula>AND(OR($B30="COMPOSICAO",$B30="INSUMO",$B30&lt;&gt;""),$B30&lt;&gt;"")</formula>
    </cfRule>
  </conditionalFormatting>
  <conditionalFormatting sqref="C30">
    <cfRule type="expression" dxfId="333" priority="8575" stopIfTrue="1">
      <formula>AND($B30&lt;&gt;"COMPOSICAO",$B30&lt;&gt;"INSUMO",$B30&lt;&gt;"")</formula>
    </cfRule>
    <cfRule type="expression" dxfId="332" priority="8576" stopIfTrue="1">
      <formula>AND(OR($B30="COMPOSICAO",$B30="INSUMO",$B30&lt;&gt;""),$B30&lt;&gt;"")</formula>
    </cfRule>
  </conditionalFormatting>
  <conditionalFormatting sqref="B33">
    <cfRule type="expression" dxfId="331" priority="8573" stopIfTrue="1">
      <formula>AND($B33&lt;&gt;"COMPOSICAO",$B33&lt;&gt;"INSUMO",$B33&lt;&gt;"")</formula>
    </cfRule>
    <cfRule type="expression" dxfId="330" priority="8574" stopIfTrue="1">
      <formula>AND(OR($B33="COMPOSICAO",$B33="INSUMO",$B33&lt;&gt;""),$B33&lt;&gt;"")</formula>
    </cfRule>
  </conditionalFormatting>
  <conditionalFormatting sqref="C33">
    <cfRule type="expression" dxfId="329" priority="8571" stopIfTrue="1">
      <formula>AND($B33&lt;&gt;"COMPOSICAO",$B33&lt;&gt;"INSUMO",$B33&lt;&gt;"")</formula>
    </cfRule>
    <cfRule type="expression" dxfId="328" priority="8572" stopIfTrue="1">
      <formula>AND(OR($B33="COMPOSICAO",$B33="INSUMO",$B33&lt;&gt;""),$B33&lt;&gt;"")</formula>
    </cfRule>
  </conditionalFormatting>
  <conditionalFormatting sqref="D33">
    <cfRule type="expression" dxfId="327" priority="8569" stopIfTrue="1">
      <formula>AND($B33&lt;&gt;"COMPOSICAO",$B33&lt;&gt;"INSUMO",$B33&lt;&gt;"")</formula>
    </cfRule>
    <cfRule type="expression" dxfId="326" priority="8570" stopIfTrue="1">
      <formula>AND(OR($B33="COMPOSICAO",$B33="INSUMO",$B33&lt;&gt;""),$B33&lt;&gt;"")</formula>
    </cfRule>
  </conditionalFormatting>
  <conditionalFormatting sqref="E33">
    <cfRule type="expression" dxfId="325" priority="8567" stopIfTrue="1">
      <formula>AND($B33&lt;&gt;"COMPOSICAO",$B33&lt;&gt;"INSUMO",$B33&lt;&gt;"")</formula>
    </cfRule>
    <cfRule type="expression" dxfId="324" priority="8568" stopIfTrue="1">
      <formula>AND(OR($B33="COMPOSICAO",$B33="INSUMO",$B33&lt;&gt;""),$B33&lt;&gt;"")</formula>
    </cfRule>
  </conditionalFormatting>
  <conditionalFormatting sqref="F33:H33">
    <cfRule type="expression" dxfId="323" priority="8565" stopIfTrue="1">
      <formula>AND($B33&lt;&gt;"COMPOSICAO",$B33&lt;&gt;"INSUMO",$B33&lt;&gt;"")</formula>
    </cfRule>
    <cfRule type="expression" dxfId="322" priority="8566" stopIfTrue="1">
      <formula>AND(OR($B33="COMPOSICAO",$B33="INSUMO",$B33&lt;&gt;""),$B33&lt;&gt;"")</formula>
    </cfRule>
  </conditionalFormatting>
  <conditionalFormatting sqref="I33">
    <cfRule type="expression" dxfId="321" priority="8563" stopIfTrue="1">
      <formula>AND($B33&lt;&gt;"COMPOSICAO",$B33&lt;&gt;"INSUMO",$B33&lt;&gt;"")</formula>
    </cfRule>
    <cfRule type="expression" dxfId="320" priority="8564" stopIfTrue="1">
      <formula>AND(OR($B33="COMPOSICAO",$B33="INSUMO",$B33&lt;&gt;""),$B33&lt;&gt;"")</formula>
    </cfRule>
  </conditionalFormatting>
  <conditionalFormatting sqref="J33">
    <cfRule type="expression" dxfId="319" priority="8561" stopIfTrue="1">
      <formula>AND($B33&lt;&gt;"COMPOSICAO",$B33&lt;&gt;"INSUMO",$B33&lt;&gt;"")</formula>
    </cfRule>
    <cfRule type="expression" dxfId="318" priority="8562" stopIfTrue="1">
      <formula>AND(OR($B33="COMPOSICAO",$B33="INSUMO",$B33&lt;&gt;""),$B33&lt;&gt;"")</formula>
    </cfRule>
  </conditionalFormatting>
  <conditionalFormatting sqref="K33">
    <cfRule type="expression" dxfId="317" priority="8559" stopIfTrue="1">
      <formula>AND($B33&lt;&gt;"COMPOSICAO",$B33&lt;&gt;"INSUMO",$B33&lt;&gt;"")</formula>
    </cfRule>
    <cfRule type="expression" dxfId="316" priority="8560" stopIfTrue="1">
      <formula>AND(OR($B33="COMPOSICAO",$B33="INSUMO",$B33&lt;&gt;""),$B33&lt;&gt;"")</formula>
    </cfRule>
  </conditionalFormatting>
  <conditionalFormatting sqref="B50:C50">
    <cfRule type="expression" dxfId="315" priority="8557" stopIfTrue="1">
      <formula>AND($B50&lt;&gt;"COMPOSICAO",$B50&lt;&gt;"INSUMO",$B50&lt;&gt;"")</formula>
    </cfRule>
    <cfRule type="expression" dxfId="314" priority="8558" stopIfTrue="1">
      <formula>AND(OR($B50="COMPOSICAO",$B50="INSUMO",$B50&lt;&gt;""),$B50&lt;&gt;"")</formula>
    </cfRule>
  </conditionalFormatting>
  <conditionalFormatting sqref="E50:H50">
    <cfRule type="expression" dxfId="313" priority="8553" stopIfTrue="1">
      <formula>AND($B50&lt;&gt;"COMPOSICAO",$B50&lt;&gt;"INSUMO",$B50&lt;&gt;"")</formula>
    </cfRule>
    <cfRule type="expression" dxfId="312" priority="8554" stopIfTrue="1">
      <formula>AND(OR($B50="COMPOSICAO",$B50="INSUMO",$B50&lt;&gt;""),$B50&lt;&gt;"")</formula>
    </cfRule>
  </conditionalFormatting>
  <conditionalFormatting sqref="I50">
    <cfRule type="expression" dxfId="311" priority="8551" stopIfTrue="1">
      <formula>AND($B50&lt;&gt;"COMPOSICAO",$B50&lt;&gt;"INSUMO",$B50&lt;&gt;"")</formula>
    </cfRule>
    <cfRule type="expression" dxfId="310" priority="8552" stopIfTrue="1">
      <formula>AND(OR($B50="COMPOSICAO",$B50="INSUMO",$B50&lt;&gt;""),$B50&lt;&gt;"")</formula>
    </cfRule>
  </conditionalFormatting>
  <conditionalFormatting sqref="J50">
    <cfRule type="expression" dxfId="309" priority="8549" stopIfTrue="1">
      <formula>AND($B50&lt;&gt;"COMPOSICAO",$B50&lt;&gt;"INSUMO",$B50&lt;&gt;"")</formula>
    </cfRule>
    <cfRule type="expression" dxfId="308" priority="8550" stopIfTrue="1">
      <formula>AND(OR($B50="COMPOSICAO",$B50="INSUMO",$B50&lt;&gt;""),$B50&lt;&gt;"")</formula>
    </cfRule>
  </conditionalFormatting>
  <conditionalFormatting sqref="B44">
    <cfRule type="expression" dxfId="307" priority="8537" stopIfTrue="1">
      <formula>AND($B44&lt;&gt;"COMPOSICAO",$B44&lt;&gt;"INSUMO",$B44&lt;&gt;"")</formula>
    </cfRule>
    <cfRule type="expression" dxfId="306" priority="8538" stopIfTrue="1">
      <formula>AND(OR($B44="COMPOSICAO",$B44="INSUMO",$B44&lt;&gt;""),$B44&lt;&gt;"")</formula>
    </cfRule>
  </conditionalFormatting>
  <conditionalFormatting sqref="D44">
    <cfRule type="expression" dxfId="305" priority="8535" stopIfTrue="1">
      <formula>AND($B44&lt;&gt;"COMPOSICAO",$B44&lt;&gt;"INSUMO",$B44&lt;&gt;"")</formula>
    </cfRule>
    <cfRule type="expression" dxfId="304" priority="8536" stopIfTrue="1">
      <formula>AND(OR($B44="COMPOSICAO",$B44="INSUMO",$B44&lt;&gt;""),$B44&lt;&gt;"")</formula>
    </cfRule>
  </conditionalFormatting>
  <conditionalFormatting sqref="E44:H44">
    <cfRule type="expression" dxfId="303" priority="8533" stopIfTrue="1">
      <formula>AND($B44&lt;&gt;"COMPOSICAO",$B44&lt;&gt;"INSUMO",$B44&lt;&gt;"")</formula>
    </cfRule>
    <cfRule type="expression" dxfId="302" priority="8534" stopIfTrue="1">
      <formula>AND(OR($B44="COMPOSICAO",$B44="INSUMO",$B44&lt;&gt;""),$B44&lt;&gt;"")</formula>
    </cfRule>
  </conditionalFormatting>
  <conditionalFormatting sqref="I44">
    <cfRule type="expression" dxfId="301" priority="8531" stopIfTrue="1">
      <formula>AND($B44&lt;&gt;"COMPOSICAO",$B44&lt;&gt;"INSUMO",$B44&lt;&gt;"")</formula>
    </cfRule>
    <cfRule type="expression" dxfId="300" priority="8532" stopIfTrue="1">
      <formula>AND(OR($B44="COMPOSICAO",$B44="INSUMO",$B44&lt;&gt;""),$B44&lt;&gt;"")</formula>
    </cfRule>
  </conditionalFormatting>
  <conditionalFormatting sqref="J44">
    <cfRule type="expression" dxfId="299" priority="8529" stopIfTrue="1">
      <formula>AND($B44&lt;&gt;"COMPOSICAO",$B44&lt;&gt;"INSUMO",$B44&lt;&gt;"")</formula>
    </cfRule>
    <cfRule type="expression" dxfId="298" priority="8530" stopIfTrue="1">
      <formula>AND(OR($B44="COMPOSICAO",$B44="INSUMO",$B44&lt;&gt;""),$B44&lt;&gt;"")</formula>
    </cfRule>
  </conditionalFormatting>
  <conditionalFormatting sqref="I60">
    <cfRule type="expression" dxfId="297" priority="8503" stopIfTrue="1">
      <formula>AND($B60&lt;&gt;"COMPOSICAO",$B60&lt;&gt;"INSUMO",$B60&lt;&gt;"")</formula>
    </cfRule>
    <cfRule type="expression" dxfId="296" priority="8504" stopIfTrue="1">
      <formula>AND(OR($B60="COMPOSICAO",$B60="INSUMO",$B60&lt;&gt;""),$B60&lt;&gt;"")</formula>
    </cfRule>
  </conditionalFormatting>
  <conditionalFormatting sqref="J60">
    <cfRule type="expression" dxfId="295" priority="8501" stopIfTrue="1">
      <formula>AND($B60&lt;&gt;"COMPOSICAO",$B60&lt;&gt;"INSUMO",$B60&lt;&gt;"")</formula>
    </cfRule>
    <cfRule type="expression" dxfId="294" priority="8502" stopIfTrue="1">
      <formula>AND(OR($B60="COMPOSICAO",$B60="INSUMO",$B60&lt;&gt;""),$B60&lt;&gt;"")</formula>
    </cfRule>
  </conditionalFormatting>
  <conditionalFormatting sqref="C62:C63 C51:C53">
    <cfRule type="expression" dxfId="293" priority="8499" stopIfTrue="1">
      <formula>AND($A51&lt;&gt;"COMPOSICAO",$A51&lt;&gt;"INSUMO",$A51&lt;&gt;"")</formula>
    </cfRule>
    <cfRule type="expression" dxfId="292" priority="8500" stopIfTrue="1">
      <formula>AND(OR($A51="COMPOSICAO",$A51="INSUMO",$A51&lt;&gt;""),$A51&lt;&gt;"")</formula>
    </cfRule>
  </conditionalFormatting>
  <conditionalFormatting sqref="K60">
    <cfRule type="expression" dxfId="291" priority="8487" stopIfTrue="1">
      <formula>AND($B60&lt;&gt;"COMPOSICAO",$B60&lt;&gt;"INSUMO",$B60&lt;&gt;"")</formula>
    </cfRule>
    <cfRule type="expression" dxfId="290" priority="8488" stopIfTrue="1">
      <formula>AND(OR($B60="COMPOSICAO",$B60="INSUMO",$B60&lt;&gt;""),$B60&lt;&gt;"")</formula>
    </cfRule>
  </conditionalFormatting>
  <conditionalFormatting sqref="K44">
    <cfRule type="expression" dxfId="289" priority="8497" stopIfTrue="1">
      <formula>AND($B44&lt;&gt;"COMPOSICAO",$B44&lt;&gt;"INSUMO",$B44&lt;&gt;"")</formula>
    </cfRule>
    <cfRule type="expression" dxfId="288" priority="8498" stopIfTrue="1">
      <formula>AND(OR($B44="COMPOSICAO",$B44="INSUMO",$B44&lt;&gt;""),$B44&lt;&gt;"")</formula>
    </cfRule>
  </conditionalFormatting>
  <conditionalFormatting sqref="K50">
    <cfRule type="expression" dxfId="287" priority="8495" stopIfTrue="1">
      <formula>AND($B50&lt;&gt;"COMPOSICAO",$B50&lt;&gt;"INSUMO",$B50&lt;&gt;"")</formula>
    </cfRule>
    <cfRule type="expression" dxfId="286" priority="8496" stopIfTrue="1">
      <formula>AND(OR($B50="COMPOSICAO",$B50="INSUMO",$B50&lt;&gt;""),$B50&lt;&gt;"")</formula>
    </cfRule>
  </conditionalFormatting>
  <conditionalFormatting sqref="I65">
    <cfRule type="expression" dxfId="285" priority="8477" stopIfTrue="1">
      <formula>AND($B65&lt;&gt;"COMPOSICAO",$B65&lt;&gt;"INSUMO",$B65&lt;&gt;"")</formula>
    </cfRule>
    <cfRule type="expression" dxfId="284" priority="8478" stopIfTrue="1">
      <formula>AND(OR($B65="COMPOSICAO",$B65="INSUMO",$B65&lt;&gt;""),$B65&lt;&gt;"")</formula>
    </cfRule>
  </conditionalFormatting>
  <conditionalFormatting sqref="J65">
    <cfRule type="expression" dxfId="283" priority="8475" stopIfTrue="1">
      <formula>AND($B65&lt;&gt;"COMPOSICAO",$B65&lt;&gt;"INSUMO",$B65&lt;&gt;"")</formula>
    </cfRule>
    <cfRule type="expression" dxfId="282" priority="8476" stopIfTrue="1">
      <formula>AND(OR($B65="COMPOSICAO",$B65="INSUMO",$B65&lt;&gt;""),$B65&lt;&gt;"")</formula>
    </cfRule>
  </conditionalFormatting>
  <conditionalFormatting sqref="C66:C68">
    <cfRule type="expression" dxfId="281" priority="8473" stopIfTrue="1">
      <formula>AND($A66&lt;&gt;"COMPOSICAO",$A66&lt;&gt;"INSUMO",$A66&lt;&gt;"")</formula>
    </cfRule>
    <cfRule type="expression" dxfId="280" priority="8474" stopIfTrue="1">
      <formula>AND(OR($A66="COMPOSICAO",$A66="INSUMO",$A66&lt;&gt;""),$A66&lt;&gt;"")</formula>
    </cfRule>
  </conditionalFormatting>
  <conditionalFormatting sqref="D66:D67">
    <cfRule type="expression" dxfId="279" priority="8471" stopIfTrue="1">
      <formula>AND($B66&lt;&gt;"COMPOSICAO",$B66&lt;&gt;"INSUMO",$B66&lt;&gt;"")</formula>
    </cfRule>
    <cfRule type="expression" dxfId="278" priority="8472" stopIfTrue="1">
      <formula>AND(OR($B66="COMPOSICAO",$B66="INSUMO",$B66&lt;&gt;""),$B66&lt;&gt;"")</formula>
    </cfRule>
  </conditionalFormatting>
  <conditionalFormatting sqref="K65">
    <cfRule type="expression" dxfId="277" priority="8469" stopIfTrue="1">
      <formula>AND($B65&lt;&gt;"COMPOSICAO",$B65&lt;&gt;"INSUMO",$B65&lt;&gt;"")</formula>
    </cfRule>
    <cfRule type="expression" dxfId="276" priority="8470" stopIfTrue="1">
      <formula>AND(OR($B65="COMPOSICAO",$B65="INSUMO",$B65&lt;&gt;""),$B65&lt;&gt;"")</formula>
    </cfRule>
  </conditionalFormatting>
  <conditionalFormatting sqref="I71">
    <cfRule type="expression" dxfId="275" priority="8457" stopIfTrue="1">
      <formula>AND($B71&lt;&gt;"COMPOSICAO",$B71&lt;&gt;"INSUMO",$B71&lt;&gt;"")</formula>
    </cfRule>
    <cfRule type="expression" dxfId="274" priority="8458" stopIfTrue="1">
      <formula>AND(OR($B71="COMPOSICAO",$B71="INSUMO",$B71&lt;&gt;""),$B71&lt;&gt;"")</formula>
    </cfRule>
  </conditionalFormatting>
  <conditionalFormatting sqref="J71">
    <cfRule type="expression" dxfId="273" priority="8455" stopIfTrue="1">
      <formula>AND($B71&lt;&gt;"COMPOSICAO",$B71&lt;&gt;"INSUMO",$B71&lt;&gt;"")</formula>
    </cfRule>
    <cfRule type="expression" dxfId="272" priority="8456" stopIfTrue="1">
      <formula>AND(OR($B71="COMPOSICAO",$B71="INSUMO",$B71&lt;&gt;""),$B71&lt;&gt;"")</formula>
    </cfRule>
  </conditionalFormatting>
  <conditionalFormatting sqref="C72:C74">
    <cfRule type="expression" dxfId="271" priority="8453" stopIfTrue="1">
      <formula>AND($A72&lt;&gt;"COMPOSICAO",$A72&lt;&gt;"INSUMO",$A72&lt;&gt;"")</formula>
    </cfRule>
    <cfRule type="expression" dxfId="270" priority="8454" stopIfTrue="1">
      <formula>AND(OR($A72="COMPOSICAO",$A72="INSUMO",$A72&lt;&gt;""),$A72&lt;&gt;"")</formula>
    </cfRule>
  </conditionalFormatting>
  <conditionalFormatting sqref="D72:D74">
    <cfRule type="expression" dxfId="269" priority="8451" stopIfTrue="1">
      <formula>AND($B72&lt;&gt;"COMPOSICAO",$B72&lt;&gt;"INSUMO",$B72&lt;&gt;"")</formula>
    </cfRule>
    <cfRule type="expression" dxfId="268" priority="8452" stopIfTrue="1">
      <formula>AND(OR($B72="COMPOSICAO",$B72="INSUMO",$B72&lt;&gt;""),$B72&lt;&gt;"")</formula>
    </cfRule>
  </conditionalFormatting>
  <conditionalFormatting sqref="K71">
    <cfRule type="expression" dxfId="267" priority="8449" stopIfTrue="1">
      <formula>AND($B71&lt;&gt;"COMPOSICAO",$B71&lt;&gt;"INSUMO",$B71&lt;&gt;"")</formula>
    </cfRule>
    <cfRule type="expression" dxfId="266" priority="8450" stopIfTrue="1">
      <formula>AND(OR($B71="COMPOSICAO",$B71="INSUMO",$B71&lt;&gt;""),$B71&lt;&gt;"")</formula>
    </cfRule>
  </conditionalFormatting>
  <conditionalFormatting sqref="I89">
    <cfRule type="expression" dxfId="265" priority="8392" stopIfTrue="1">
      <formula>AND($B89&lt;&gt;"COMPOSICAO",$B89&lt;&gt;"INSUMO",$B89&lt;&gt;"")</formula>
    </cfRule>
    <cfRule type="expression" dxfId="264" priority="8393" stopIfTrue="1">
      <formula>AND(OR($B89="COMPOSICAO",$B89="INSUMO",$B89&lt;&gt;""),$B89&lt;&gt;"")</formula>
    </cfRule>
  </conditionalFormatting>
  <conditionalFormatting sqref="E76:H76">
    <cfRule type="expression" dxfId="263" priority="8418" stopIfTrue="1">
      <formula>AND($B76&lt;&gt;"COMPOSICAO",$B76&lt;&gt;"INSUMO",$B76&lt;&gt;"")</formula>
    </cfRule>
    <cfRule type="expression" dxfId="262" priority="8419" stopIfTrue="1">
      <formula>AND(OR($B76="COMPOSICAO",$B76="INSUMO",$B76&lt;&gt;""),$B76&lt;&gt;"")</formula>
    </cfRule>
  </conditionalFormatting>
  <conditionalFormatting sqref="B93:G93">
    <cfRule type="expression" dxfId="261" priority="8426" stopIfTrue="1">
      <formula>AND($A93&lt;&gt;"COMPOSICAO",$A93&lt;&gt;"INSUMO",$A93&lt;&gt;"")</formula>
    </cfRule>
    <cfRule type="expression" dxfId="260" priority="8427" stopIfTrue="1">
      <formula>AND(OR($A93="COMPOSICAO",$A93="INSUMO",$A93&lt;&gt;""),$A93&lt;&gt;"")</formula>
    </cfRule>
  </conditionalFormatting>
  <conditionalFormatting sqref="B88:G88">
    <cfRule type="expression" dxfId="259" priority="8424" stopIfTrue="1">
      <formula>AND($A88&lt;&gt;"COMPOSICAO",$A88&lt;&gt;"INSUMO",$A88&lt;&gt;"")</formula>
    </cfRule>
    <cfRule type="expression" dxfId="258" priority="8425" stopIfTrue="1">
      <formula>AND(OR($A88="COMPOSICAO",$A88="INSUMO",$A88&lt;&gt;""),$A88&lt;&gt;"")</formula>
    </cfRule>
  </conditionalFormatting>
  <conditionalFormatting sqref="D76">
    <cfRule type="expression" dxfId="257" priority="8420" stopIfTrue="1">
      <formula>AND($B76&lt;&gt;"COMPOSICAO",$B76&lt;&gt;"INSUMO",$B76&lt;&gt;"")</formula>
    </cfRule>
    <cfRule type="expression" dxfId="256" priority="8421" stopIfTrue="1">
      <formula>AND(OR($B76="COMPOSICAO",$B76="INSUMO",$B76&lt;&gt;""),$B76&lt;&gt;"")</formula>
    </cfRule>
  </conditionalFormatting>
  <conditionalFormatting sqref="B76">
    <cfRule type="expression" dxfId="255" priority="8422" stopIfTrue="1">
      <formula>AND($B76&lt;&gt;"COMPOSICAO",$B76&lt;&gt;"INSUMO",$B76&lt;&gt;"")</formula>
    </cfRule>
    <cfRule type="expression" dxfId="254" priority="8423" stopIfTrue="1">
      <formula>AND(OR($B76="COMPOSICAO",$B76="INSUMO",$B76&lt;&gt;""),$B76&lt;&gt;"")</formula>
    </cfRule>
  </conditionalFormatting>
  <conditionalFormatting sqref="I76">
    <cfRule type="expression" dxfId="253" priority="8416" stopIfTrue="1">
      <formula>AND($B76&lt;&gt;"COMPOSICAO",$B76&lt;&gt;"INSUMO",$B76&lt;&gt;"")</formula>
    </cfRule>
    <cfRule type="expression" dxfId="252" priority="8417" stopIfTrue="1">
      <formula>AND(OR($B76="COMPOSICAO",$B76="INSUMO",$B76&lt;&gt;""),$B76&lt;&gt;"")</formula>
    </cfRule>
  </conditionalFormatting>
  <conditionalFormatting sqref="J76">
    <cfRule type="expression" dxfId="251" priority="8414" stopIfTrue="1">
      <formula>AND($B76&lt;&gt;"COMPOSICAO",$B76&lt;&gt;"INSUMO",$B76&lt;&gt;"")</formula>
    </cfRule>
    <cfRule type="expression" dxfId="250" priority="8415" stopIfTrue="1">
      <formula>AND(OR($B76="COMPOSICAO",$B76="INSUMO",$B76&lt;&gt;""),$B76&lt;&gt;"")</formula>
    </cfRule>
  </conditionalFormatting>
  <conditionalFormatting sqref="C76">
    <cfRule type="expression" dxfId="249" priority="8400" stopIfTrue="1">
      <formula>AND($B76&lt;&gt;"COMPOSICAO",$B76&lt;&gt;"INSUMO",$B76&lt;&gt;"")</formula>
    </cfRule>
    <cfRule type="expression" dxfId="248" priority="8401" stopIfTrue="1">
      <formula>AND(OR($B76="COMPOSICAO",$B76="INSUMO",$B76&lt;&gt;""),$B76&lt;&gt;"")</formula>
    </cfRule>
  </conditionalFormatting>
  <conditionalFormatting sqref="J89">
    <cfRule type="expression" dxfId="247" priority="8390" stopIfTrue="1">
      <formula>AND($B89&lt;&gt;"COMPOSICAO",$B89&lt;&gt;"INSUMO",$B89&lt;&gt;"")</formula>
    </cfRule>
    <cfRule type="expression" dxfId="246" priority="8391" stopIfTrue="1">
      <formula>AND(OR($B89="COMPOSICAO",$B89="INSUMO",$B89&lt;&gt;""),$B89&lt;&gt;"")</formula>
    </cfRule>
  </conditionalFormatting>
  <conditionalFormatting sqref="H89">
    <cfRule type="expression" dxfId="245" priority="8394" stopIfTrue="1">
      <formula>AND($B89&lt;&gt;"COMPOSICAO",$B89&lt;&gt;"INSUMO",$B89&lt;&gt;"")</formula>
    </cfRule>
    <cfRule type="expression" dxfId="244" priority="8395" stopIfTrue="1">
      <formula>AND(OR($B89="COMPOSICAO",$B89="INSUMO",$B89&lt;&gt;""),$B89&lt;&gt;"")</formula>
    </cfRule>
  </conditionalFormatting>
  <conditionalFormatting sqref="I94">
    <cfRule type="expression" dxfId="243" priority="8382" stopIfTrue="1">
      <formula>AND($B94&lt;&gt;"COMPOSICAO",$B94&lt;&gt;"INSUMO",$B94&lt;&gt;"")</formula>
    </cfRule>
    <cfRule type="expression" dxfId="242" priority="8383" stopIfTrue="1">
      <formula>AND(OR($B94="COMPOSICAO",$B94="INSUMO",$B94&lt;&gt;""),$B94&lt;&gt;"")</formula>
    </cfRule>
  </conditionalFormatting>
  <conditionalFormatting sqref="H94">
    <cfRule type="expression" dxfId="241" priority="8384" stopIfTrue="1">
      <formula>AND($B94&lt;&gt;"COMPOSICAO",$B94&lt;&gt;"INSUMO",$B94&lt;&gt;"")</formula>
    </cfRule>
    <cfRule type="expression" dxfId="240" priority="8385" stopIfTrue="1">
      <formula>AND(OR($B94="COMPOSICAO",$B94="INSUMO",$B94&lt;&gt;""),$B94&lt;&gt;"")</formula>
    </cfRule>
  </conditionalFormatting>
  <conditionalFormatting sqref="J94">
    <cfRule type="expression" dxfId="239" priority="8380" stopIfTrue="1">
      <formula>AND($B94&lt;&gt;"COMPOSICAO",$B94&lt;&gt;"INSUMO",$B94&lt;&gt;"")</formula>
    </cfRule>
    <cfRule type="expression" dxfId="238" priority="8381" stopIfTrue="1">
      <formula>AND(OR($B94="COMPOSICAO",$B94="INSUMO",$B94&lt;&gt;""),$B94&lt;&gt;"")</formula>
    </cfRule>
  </conditionalFormatting>
  <conditionalFormatting sqref="I105">
    <cfRule type="expression" dxfId="237" priority="8366" stopIfTrue="1">
      <formula>AND($B105&lt;&gt;"COMPOSICAO",$B105&lt;&gt;"INSUMO",$B105&lt;&gt;"")</formula>
    </cfRule>
    <cfRule type="expression" dxfId="236" priority="8367" stopIfTrue="1">
      <formula>AND(OR($B105="COMPOSICAO",$B105="INSUMO",$B105&lt;&gt;""),$B105&lt;&gt;"")</formula>
    </cfRule>
  </conditionalFormatting>
  <conditionalFormatting sqref="J105">
    <cfRule type="expression" dxfId="235" priority="8364" stopIfTrue="1">
      <formula>AND($B105&lt;&gt;"COMPOSICAO",$B105&lt;&gt;"INSUMO",$B105&lt;&gt;"")</formula>
    </cfRule>
    <cfRule type="expression" dxfId="234" priority="8365" stopIfTrue="1">
      <formula>AND(OR($B105="COMPOSICAO",$B105="INSUMO",$B105&lt;&gt;""),$B105&lt;&gt;"")</formula>
    </cfRule>
  </conditionalFormatting>
  <conditionalFormatting sqref="I110">
    <cfRule type="expression" dxfId="233" priority="8362" stopIfTrue="1">
      <formula>AND($B110&lt;&gt;"COMPOSICAO",$B110&lt;&gt;"INSUMO",$B110&lt;&gt;"")</formula>
    </cfRule>
    <cfRule type="expression" dxfId="232" priority="8363" stopIfTrue="1">
      <formula>AND(OR($B110="COMPOSICAO",$B110="INSUMO",$B110&lt;&gt;""),$B110&lt;&gt;"")</formula>
    </cfRule>
  </conditionalFormatting>
  <conditionalFormatting sqref="J110">
    <cfRule type="expression" dxfId="231" priority="8360" stopIfTrue="1">
      <formula>AND($B110&lt;&gt;"COMPOSICAO",$B110&lt;&gt;"INSUMO",$B110&lt;&gt;"")</formula>
    </cfRule>
    <cfRule type="expression" dxfId="230" priority="8361" stopIfTrue="1">
      <formula>AND(OR($B110="COMPOSICAO",$B110="INSUMO",$B110&lt;&gt;""),$B110&lt;&gt;"")</formula>
    </cfRule>
  </conditionalFormatting>
  <conditionalFormatting sqref="B116">
    <cfRule type="expression" dxfId="229" priority="8358" stopIfTrue="1">
      <formula>AND($B116&lt;&gt;"COMPOSICAO",$B116&lt;&gt;"INSUMO",$B116&lt;&gt;"")</formula>
    </cfRule>
    <cfRule type="expression" dxfId="228" priority="8359" stopIfTrue="1">
      <formula>AND(OR($B116="COMPOSICAO",$B116="INSUMO",$B116&lt;&gt;""),$B116&lt;&gt;"")</formula>
    </cfRule>
  </conditionalFormatting>
  <conditionalFormatting sqref="D116">
    <cfRule type="expression" dxfId="227" priority="8356" stopIfTrue="1">
      <formula>AND($B116&lt;&gt;"COMPOSICAO",$B116&lt;&gt;"INSUMO",$B116&lt;&gt;"")</formula>
    </cfRule>
    <cfRule type="expression" dxfId="226" priority="8357" stopIfTrue="1">
      <formula>AND(OR($B116="COMPOSICAO",$B116="INSUMO",$B116&lt;&gt;""),$B116&lt;&gt;"")</formula>
    </cfRule>
  </conditionalFormatting>
  <conditionalFormatting sqref="I116">
    <cfRule type="expression" dxfId="225" priority="8352" stopIfTrue="1">
      <formula>AND($B116&lt;&gt;"COMPOSICAO",$B116&lt;&gt;"INSUMO",$B116&lt;&gt;"")</formula>
    </cfRule>
    <cfRule type="expression" dxfId="224" priority="8353" stopIfTrue="1">
      <formula>AND(OR($B116="COMPOSICAO",$B116="INSUMO",$B116&lt;&gt;""),$B116&lt;&gt;"")</formula>
    </cfRule>
  </conditionalFormatting>
  <conditionalFormatting sqref="E116:H116">
    <cfRule type="expression" dxfId="223" priority="8354" stopIfTrue="1">
      <formula>AND($B116&lt;&gt;"COMPOSICAO",$B116&lt;&gt;"INSUMO",$B116&lt;&gt;"")</formula>
    </cfRule>
    <cfRule type="expression" dxfId="222" priority="8355" stopIfTrue="1">
      <formula>AND(OR($B116="COMPOSICAO",$B116="INSUMO",$B116&lt;&gt;""),$B116&lt;&gt;"")</formula>
    </cfRule>
  </conditionalFormatting>
  <conditionalFormatting sqref="J116">
    <cfRule type="expression" dxfId="221" priority="8350" stopIfTrue="1">
      <formula>AND($B116&lt;&gt;"COMPOSICAO",$B116&lt;&gt;"INSUMO",$B116&lt;&gt;"")</formula>
    </cfRule>
    <cfRule type="expression" dxfId="220" priority="8351" stopIfTrue="1">
      <formula>AND(OR($B116="COMPOSICAO",$B116="INSUMO",$B116&lt;&gt;""),$B116&lt;&gt;"")</formula>
    </cfRule>
  </conditionalFormatting>
  <conditionalFormatting sqref="C116">
    <cfRule type="expression" dxfId="219" priority="8348" stopIfTrue="1">
      <formula>AND($B116&lt;&gt;"COMPOSICAO",$B116&lt;&gt;"INSUMO",$B116&lt;&gt;"")</formula>
    </cfRule>
    <cfRule type="expression" dxfId="218" priority="8349" stopIfTrue="1">
      <formula>AND(OR($B116="COMPOSICAO",$B116="INSUMO",$B116&lt;&gt;""),$B116&lt;&gt;"")</formula>
    </cfRule>
  </conditionalFormatting>
  <conditionalFormatting sqref="K115 K104">
    <cfRule type="dataBar" priority="843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{E4572582-8AF6-4CA2-AC23-D42FF1F2F485}</x14:id>
        </ext>
      </extLst>
    </cfRule>
  </conditionalFormatting>
  <conditionalFormatting sqref="K76">
    <cfRule type="expression" dxfId="217" priority="8332" stopIfTrue="1">
      <formula>AND($B76&lt;&gt;"COMPOSICAO",$B76&lt;&gt;"INSUMO",$B76&lt;&gt;"")</formula>
    </cfRule>
    <cfRule type="expression" dxfId="216" priority="8333" stopIfTrue="1">
      <formula>AND(OR($B76="COMPOSICAO",$B76="INSUMO",$B76&lt;&gt;""),$B76&lt;&gt;"")</formula>
    </cfRule>
  </conditionalFormatting>
  <conditionalFormatting sqref="K89">
    <cfRule type="expression" dxfId="215" priority="8328" stopIfTrue="1">
      <formula>AND($B89&lt;&gt;"COMPOSICAO",$B89&lt;&gt;"INSUMO",$B89&lt;&gt;"")</formula>
    </cfRule>
    <cfRule type="expression" dxfId="214" priority="8329" stopIfTrue="1">
      <formula>AND(OR($B89="COMPOSICAO",$B89="INSUMO",$B89&lt;&gt;""),$B89&lt;&gt;"")</formula>
    </cfRule>
  </conditionalFormatting>
  <conditionalFormatting sqref="K94">
    <cfRule type="expression" dxfId="213" priority="8326" stopIfTrue="1">
      <formula>AND($B94&lt;&gt;"COMPOSICAO",$B94&lt;&gt;"INSUMO",$B94&lt;&gt;"")</formula>
    </cfRule>
    <cfRule type="expression" dxfId="212" priority="8327" stopIfTrue="1">
      <formula>AND(OR($B94="COMPOSICAO",$B94="INSUMO",$B94&lt;&gt;""),$B94&lt;&gt;"")</formula>
    </cfRule>
  </conditionalFormatting>
  <conditionalFormatting sqref="K105">
    <cfRule type="expression" dxfId="211" priority="8322" stopIfTrue="1">
      <formula>AND($B105&lt;&gt;"COMPOSICAO",$B105&lt;&gt;"INSUMO",$B105&lt;&gt;"")</formula>
    </cfRule>
    <cfRule type="expression" dxfId="210" priority="8323" stopIfTrue="1">
      <formula>AND(OR($B105="COMPOSICAO",$B105="INSUMO",$B105&lt;&gt;""),$B105&lt;&gt;"")</formula>
    </cfRule>
  </conditionalFormatting>
  <conditionalFormatting sqref="K110">
    <cfRule type="expression" dxfId="209" priority="8320" stopIfTrue="1">
      <formula>AND($B110&lt;&gt;"COMPOSICAO",$B110&lt;&gt;"INSUMO",$B110&lt;&gt;"")</formula>
    </cfRule>
    <cfRule type="expression" dxfId="208" priority="8321" stopIfTrue="1">
      <formula>AND(OR($B110="COMPOSICAO",$B110="INSUMO",$B110&lt;&gt;""),$B110&lt;&gt;"")</formula>
    </cfRule>
  </conditionalFormatting>
  <conditionalFormatting sqref="K116">
    <cfRule type="expression" dxfId="207" priority="8318" stopIfTrue="1">
      <formula>AND($B116&lt;&gt;"COMPOSICAO",$B116&lt;&gt;"INSUMO",$B116&lt;&gt;"")</formula>
    </cfRule>
    <cfRule type="expression" dxfId="206" priority="8319" stopIfTrue="1">
      <formula>AND(OR($B116="COMPOSICAO",$B116="INSUMO",$B116&lt;&gt;""),$B116&lt;&gt;"")</formula>
    </cfRule>
  </conditionalFormatting>
  <conditionalFormatting sqref="B129:C129">
    <cfRule type="expression" dxfId="205" priority="8309" stopIfTrue="1">
      <formula>AND($B129&lt;&gt;"COMPOSICAO",$B129&lt;&gt;"INSUMO",$B129&lt;&gt;"")</formula>
    </cfRule>
    <cfRule type="expression" dxfId="204" priority="8310" stopIfTrue="1">
      <formula>AND(OR($B129="COMPOSICAO",$B129="INSUMO",$B129&lt;&gt;""),$B129&lt;&gt;"")</formula>
    </cfRule>
  </conditionalFormatting>
  <conditionalFormatting sqref="B135:C135">
    <cfRule type="expression" dxfId="203" priority="8307" stopIfTrue="1">
      <formula>AND($B135&lt;&gt;"COMPOSICAO",$B135&lt;&gt;"INSUMO",$B135&lt;&gt;"")</formula>
    </cfRule>
    <cfRule type="expression" dxfId="202" priority="8308" stopIfTrue="1">
      <formula>AND(OR($B135="COMPOSICAO",$B135="INSUMO",$B135&lt;&gt;""),$B135&lt;&gt;"")</formula>
    </cfRule>
  </conditionalFormatting>
  <conditionalFormatting sqref="B141:C141">
    <cfRule type="expression" dxfId="201" priority="8305" stopIfTrue="1">
      <formula>AND($B141&lt;&gt;"COMPOSICAO",$B141&lt;&gt;"INSUMO",$B141&lt;&gt;"")</formula>
    </cfRule>
    <cfRule type="expression" dxfId="200" priority="8306" stopIfTrue="1">
      <formula>AND(OR($B141="COMPOSICAO",$B141="INSUMO",$B141&lt;&gt;""),$B141&lt;&gt;"")</formula>
    </cfRule>
  </conditionalFormatting>
  <conditionalFormatting sqref="G123:H123">
    <cfRule type="expression" dxfId="199" priority="8293" stopIfTrue="1">
      <formula>AND($B123&lt;&gt;"COMPOSICAO",$B123&lt;&gt;"INSUMO",$B123&lt;&gt;"")</formula>
    </cfRule>
    <cfRule type="expression" dxfId="198" priority="8294" stopIfTrue="1">
      <formula>AND(OR($B123="COMPOSICAO",$B123="INSUMO",$B123&lt;&gt;""),$B123&lt;&gt;"")</formula>
    </cfRule>
  </conditionalFormatting>
  <conditionalFormatting sqref="D129">
    <cfRule type="expression" dxfId="197" priority="8299" stopIfTrue="1">
      <formula>AND($B129&lt;&gt;"COMPOSICAO",$B129&lt;&gt;"INSUMO",$B129&lt;&gt;"")</formula>
    </cfRule>
    <cfRule type="expression" dxfId="196" priority="8300" stopIfTrue="1">
      <formula>AND(OR($B129="COMPOSICAO",$B129="INSUMO",$B129&lt;&gt;""),$B129&lt;&gt;"")</formula>
    </cfRule>
  </conditionalFormatting>
  <conditionalFormatting sqref="D135">
    <cfRule type="expression" dxfId="195" priority="8297" stopIfTrue="1">
      <formula>AND($B135&lt;&gt;"COMPOSICAO",$B135&lt;&gt;"INSUMO",$B135&lt;&gt;"")</formula>
    </cfRule>
    <cfRule type="expression" dxfId="194" priority="8298" stopIfTrue="1">
      <formula>AND(OR($B135="COMPOSICAO",$B135="INSUMO",$B135&lt;&gt;""),$B135&lt;&gt;"")</formula>
    </cfRule>
  </conditionalFormatting>
  <conditionalFormatting sqref="D141">
    <cfRule type="expression" dxfId="193" priority="8295" stopIfTrue="1">
      <formula>AND($B141&lt;&gt;"COMPOSICAO",$B141&lt;&gt;"INSUMO",$B141&lt;&gt;"")</formula>
    </cfRule>
    <cfRule type="expression" dxfId="192" priority="8296" stopIfTrue="1">
      <formula>AND(OR($B141="COMPOSICAO",$B141="INSUMO",$B141&lt;&gt;""),$B141&lt;&gt;"")</formula>
    </cfRule>
  </conditionalFormatting>
  <conditionalFormatting sqref="I123">
    <cfRule type="expression" dxfId="191" priority="8291" stopIfTrue="1">
      <formula>AND($B123&lt;&gt;"COMPOSICAO",$B123&lt;&gt;"INSUMO",$B123&lt;&gt;"")</formula>
    </cfRule>
    <cfRule type="expression" dxfId="190" priority="8292" stopIfTrue="1">
      <formula>AND(OR($B123="COMPOSICAO",$B123="INSUMO",$B123&lt;&gt;""),$B123&lt;&gt;"")</formula>
    </cfRule>
  </conditionalFormatting>
  <conditionalFormatting sqref="J123">
    <cfRule type="expression" dxfId="189" priority="8289" stopIfTrue="1">
      <formula>AND($B123&lt;&gt;"COMPOSICAO",$B123&lt;&gt;"INSUMO",$B123&lt;&gt;"")</formula>
    </cfRule>
    <cfRule type="expression" dxfId="188" priority="8290" stopIfTrue="1">
      <formula>AND(OR($B123="COMPOSICAO",$B123="INSUMO",$B123&lt;&gt;""),$B123&lt;&gt;"")</formula>
    </cfRule>
  </conditionalFormatting>
  <conditionalFormatting sqref="E129:H129">
    <cfRule type="expression" dxfId="187" priority="8285" stopIfTrue="1">
      <formula>AND($B129&lt;&gt;"COMPOSICAO",$B129&lt;&gt;"INSUMO",$B129&lt;&gt;"")</formula>
    </cfRule>
    <cfRule type="expression" dxfId="186" priority="8286" stopIfTrue="1">
      <formula>AND(OR($B129="COMPOSICAO",$B129="INSUMO",$B129&lt;&gt;""),$B129&lt;&gt;"")</formula>
    </cfRule>
  </conditionalFormatting>
  <conditionalFormatting sqref="E141:H141">
    <cfRule type="expression" dxfId="185" priority="8281" stopIfTrue="1">
      <formula>AND($B141&lt;&gt;"COMPOSICAO",$B141&lt;&gt;"INSUMO",$B141&lt;&gt;"")</formula>
    </cfRule>
    <cfRule type="expression" dxfId="184" priority="8282" stopIfTrue="1">
      <formula>AND(OR($B141="COMPOSICAO",$B141="INSUMO",$B141&lt;&gt;""),$B141&lt;&gt;"")</formula>
    </cfRule>
  </conditionalFormatting>
  <conditionalFormatting sqref="E135:H135">
    <cfRule type="expression" dxfId="183" priority="8283" stopIfTrue="1">
      <formula>AND($B135&lt;&gt;"COMPOSICAO",$B135&lt;&gt;"INSUMO",$B135&lt;&gt;"")</formula>
    </cfRule>
    <cfRule type="expression" dxfId="182" priority="8284" stopIfTrue="1">
      <formula>AND(OR($B135="COMPOSICAO",$B135="INSUMO",$B135&lt;&gt;""),$B135&lt;&gt;"")</formula>
    </cfRule>
  </conditionalFormatting>
  <conditionalFormatting sqref="K126">
    <cfRule type="dataBar" priority="828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{CF91BB9B-C6E4-4106-84CD-8CA1E0C224C6}</x14:id>
        </ext>
      </extLst>
    </cfRule>
  </conditionalFormatting>
  <conditionalFormatting sqref="K127">
    <cfRule type="dataBar" priority="827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{C71A746E-60E7-4915-A005-8CD5C92B724F}</x14:id>
        </ext>
      </extLst>
    </cfRule>
  </conditionalFormatting>
  <conditionalFormatting sqref="K132">
    <cfRule type="dataBar" priority="827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{9EF2D7A3-C78B-4DB3-9442-770BBA622977}</x14:id>
        </ext>
      </extLst>
    </cfRule>
  </conditionalFormatting>
  <conditionalFormatting sqref="K133">
    <cfRule type="dataBar" priority="827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{2AE48288-11F5-4EFA-BCF6-3612A080EF18}</x14:id>
        </ext>
      </extLst>
    </cfRule>
  </conditionalFormatting>
  <conditionalFormatting sqref="K138">
    <cfRule type="dataBar" priority="827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{6CAB6A5A-60B6-46D9-8DBD-3D02F8C2F1BD}</x14:id>
        </ext>
      </extLst>
    </cfRule>
  </conditionalFormatting>
  <conditionalFormatting sqref="K139">
    <cfRule type="dataBar" priority="827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{E854C594-7DED-4988-845C-88D94F4FBB10}</x14:id>
        </ext>
      </extLst>
    </cfRule>
  </conditionalFormatting>
  <conditionalFormatting sqref="K144">
    <cfRule type="dataBar" priority="827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{713F645D-3961-492A-93C0-D5E1F89C67D4}</x14:id>
        </ext>
      </extLst>
    </cfRule>
  </conditionalFormatting>
  <conditionalFormatting sqref="K145">
    <cfRule type="dataBar" priority="827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{A98C0781-6B07-4924-9F03-9CD3F945BFB6}</x14:id>
        </ext>
      </extLst>
    </cfRule>
  </conditionalFormatting>
  <conditionalFormatting sqref="I129">
    <cfRule type="expression" dxfId="181" priority="8265" stopIfTrue="1">
      <formula>AND($B129&lt;&gt;"COMPOSICAO",$B129&lt;&gt;"INSUMO",$B129&lt;&gt;"")</formula>
    </cfRule>
    <cfRule type="expression" dxfId="180" priority="8266" stopIfTrue="1">
      <formula>AND(OR($B129="COMPOSICAO",$B129="INSUMO",$B129&lt;&gt;""),$B129&lt;&gt;"")</formula>
    </cfRule>
  </conditionalFormatting>
  <conditionalFormatting sqref="J129">
    <cfRule type="expression" dxfId="179" priority="8263" stopIfTrue="1">
      <formula>AND($B129&lt;&gt;"COMPOSICAO",$B129&lt;&gt;"INSUMO",$B129&lt;&gt;"")</formula>
    </cfRule>
    <cfRule type="expression" dxfId="178" priority="8264" stopIfTrue="1">
      <formula>AND(OR($B129="COMPOSICAO",$B129="INSUMO",$B129&lt;&gt;""),$B129&lt;&gt;"")</formula>
    </cfRule>
  </conditionalFormatting>
  <conditionalFormatting sqref="I135">
    <cfRule type="expression" dxfId="177" priority="8261" stopIfTrue="1">
      <formula>AND($B135&lt;&gt;"COMPOSICAO",$B135&lt;&gt;"INSUMO",$B135&lt;&gt;"")</formula>
    </cfRule>
    <cfRule type="expression" dxfId="176" priority="8262" stopIfTrue="1">
      <formula>AND(OR($B135="COMPOSICAO",$B135="INSUMO",$B135&lt;&gt;""),$B135&lt;&gt;"")</formula>
    </cfRule>
  </conditionalFormatting>
  <conditionalFormatting sqref="J135">
    <cfRule type="expression" dxfId="175" priority="8259" stopIfTrue="1">
      <formula>AND($B135&lt;&gt;"COMPOSICAO",$B135&lt;&gt;"INSUMO",$B135&lt;&gt;"")</formula>
    </cfRule>
    <cfRule type="expression" dxfId="174" priority="8260" stopIfTrue="1">
      <formula>AND(OR($B135="COMPOSICAO",$B135="INSUMO",$B135&lt;&gt;""),$B135&lt;&gt;"")</formula>
    </cfRule>
  </conditionalFormatting>
  <conditionalFormatting sqref="I141">
    <cfRule type="expression" dxfId="173" priority="8257" stopIfTrue="1">
      <formula>AND($B141&lt;&gt;"COMPOSICAO",$B141&lt;&gt;"INSUMO",$B141&lt;&gt;"")</formula>
    </cfRule>
    <cfRule type="expression" dxfId="172" priority="8258" stopIfTrue="1">
      <formula>AND(OR($B141="COMPOSICAO",$B141="INSUMO",$B141&lt;&gt;""),$B141&lt;&gt;"")</formula>
    </cfRule>
  </conditionalFormatting>
  <conditionalFormatting sqref="J141">
    <cfRule type="expression" dxfId="171" priority="8255" stopIfTrue="1">
      <formula>AND($B141&lt;&gt;"COMPOSICAO",$B141&lt;&gt;"INSUMO",$B141&lt;&gt;"")</formula>
    </cfRule>
    <cfRule type="expression" dxfId="170" priority="8256" stopIfTrue="1">
      <formula>AND(OR($B141="COMPOSICAO",$B141="INSUMO",$B141&lt;&gt;""),$B141&lt;&gt;"")</formula>
    </cfRule>
  </conditionalFormatting>
  <conditionalFormatting sqref="K123">
    <cfRule type="expression" dxfId="169" priority="8230" stopIfTrue="1">
      <formula>AND($B123&lt;&gt;"COMPOSICAO",$B123&lt;&gt;"INSUMO",$B123&lt;&gt;"")</formula>
    </cfRule>
    <cfRule type="expression" dxfId="168" priority="8231" stopIfTrue="1">
      <formula>AND(OR($B123="COMPOSICAO",$B123="INSUMO",$B123&lt;&gt;""),$B123&lt;&gt;"")</formula>
    </cfRule>
  </conditionalFormatting>
  <conditionalFormatting sqref="K129">
    <cfRule type="expression" dxfId="167" priority="8226" stopIfTrue="1">
      <formula>AND($B129&lt;&gt;"COMPOSICAO",$B129&lt;&gt;"INSUMO",$B129&lt;&gt;"")</formula>
    </cfRule>
    <cfRule type="expression" dxfId="166" priority="8227" stopIfTrue="1">
      <formula>AND(OR($B129="COMPOSICAO",$B129="INSUMO",$B129&lt;&gt;""),$B129&lt;&gt;"")</formula>
    </cfRule>
  </conditionalFormatting>
  <conditionalFormatting sqref="K135">
    <cfRule type="expression" dxfId="165" priority="8224" stopIfTrue="1">
      <formula>AND($B135&lt;&gt;"COMPOSICAO",$B135&lt;&gt;"INSUMO",$B135&lt;&gt;"")</formula>
    </cfRule>
    <cfRule type="expression" dxfId="164" priority="8225" stopIfTrue="1">
      <formula>AND(OR($B135="COMPOSICAO",$B135="INSUMO",$B135&lt;&gt;""),$B135&lt;&gt;"")</formula>
    </cfRule>
  </conditionalFormatting>
  <conditionalFormatting sqref="K141">
    <cfRule type="expression" dxfId="163" priority="8222" stopIfTrue="1">
      <formula>AND($B141&lt;&gt;"COMPOSICAO",$B141&lt;&gt;"INSUMO",$B141&lt;&gt;"")</formula>
    </cfRule>
    <cfRule type="expression" dxfId="162" priority="8223" stopIfTrue="1">
      <formula>AND(OR($B141="COMPOSICAO",$B141="INSUMO",$B141&lt;&gt;""),$B141&lt;&gt;"")</formula>
    </cfRule>
  </conditionalFormatting>
  <conditionalFormatting sqref="I208">
    <cfRule type="expression" dxfId="161" priority="8198" stopIfTrue="1">
      <formula>AND($B208&lt;&gt;"COMPOSICAO",$B208&lt;&gt;"INSUMO",$B208&lt;&gt;"")</formula>
    </cfRule>
    <cfRule type="expression" dxfId="160" priority="8199" stopIfTrue="1">
      <formula>AND(OR($B208="COMPOSICAO",$B208="INSUMO",$B208&lt;&gt;""),$B208&lt;&gt;"")</formula>
    </cfRule>
  </conditionalFormatting>
  <conditionalFormatting sqref="J208">
    <cfRule type="expression" dxfId="159" priority="8196" stopIfTrue="1">
      <formula>AND($B208&lt;&gt;"COMPOSICAO",$B208&lt;&gt;"INSUMO",$B208&lt;&gt;"")</formula>
    </cfRule>
    <cfRule type="expression" dxfId="158" priority="8197" stopIfTrue="1">
      <formula>AND(OR($B208="COMPOSICAO",$B208="INSUMO",$B208&lt;&gt;""),$B208&lt;&gt;"")</formula>
    </cfRule>
  </conditionalFormatting>
  <conditionalFormatting sqref="K208">
    <cfRule type="expression" dxfId="157" priority="8194" stopIfTrue="1">
      <formula>AND($B208&lt;&gt;"COMPOSICAO",$B208&lt;&gt;"INSUMO",$B208&lt;&gt;"")</formula>
    </cfRule>
    <cfRule type="expression" dxfId="156" priority="8195" stopIfTrue="1">
      <formula>AND(OR($B208="COMPOSICAO",$B208="INSUMO",$B208&lt;&gt;""),$B208&lt;&gt;"")</formula>
    </cfRule>
  </conditionalFormatting>
  <conditionalFormatting sqref="B55:C55">
    <cfRule type="expression" dxfId="155" priority="8092" stopIfTrue="1">
      <formula>AND($B55&lt;&gt;"COMPOSICAO",$B55&lt;&gt;"INSUMO",$B55&lt;&gt;"")</formula>
    </cfRule>
    <cfRule type="expression" dxfId="154" priority="8093" stopIfTrue="1">
      <formula>AND(OR($B55="COMPOSICAO",$B55="INSUMO",$B55&lt;&gt;""),$B55&lt;&gt;"")</formula>
    </cfRule>
  </conditionalFormatting>
  <conditionalFormatting sqref="D55">
    <cfRule type="expression" dxfId="153" priority="8090" stopIfTrue="1">
      <formula>AND($B55&lt;&gt;"COMPOSICAO",$B55&lt;&gt;"INSUMO",$B55&lt;&gt;"")</formula>
    </cfRule>
    <cfRule type="expression" dxfId="152" priority="8091" stopIfTrue="1">
      <formula>AND(OR($B55="COMPOSICAO",$B55="INSUMO",$B55&lt;&gt;""),$B55&lt;&gt;"")</formula>
    </cfRule>
  </conditionalFormatting>
  <conditionalFormatting sqref="E55:H55">
    <cfRule type="expression" dxfId="151" priority="8088" stopIfTrue="1">
      <formula>AND($B55&lt;&gt;"COMPOSICAO",$B55&lt;&gt;"INSUMO",$B55&lt;&gt;"")</formula>
    </cfRule>
    <cfRule type="expression" dxfId="150" priority="8089" stopIfTrue="1">
      <formula>AND(OR($B55="COMPOSICAO",$B55="INSUMO",$B55&lt;&gt;""),$B55&lt;&gt;"")</formula>
    </cfRule>
  </conditionalFormatting>
  <conditionalFormatting sqref="I55">
    <cfRule type="expression" dxfId="149" priority="8086" stopIfTrue="1">
      <formula>AND($B55&lt;&gt;"COMPOSICAO",$B55&lt;&gt;"INSUMO",$B55&lt;&gt;"")</formula>
    </cfRule>
    <cfRule type="expression" dxfId="148" priority="8087" stopIfTrue="1">
      <formula>AND(OR($B55="COMPOSICAO",$B55="INSUMO",$B55&lt;&gt;""),$B55&lt;&gt;"")</formula>
    </cfRule>
  </conditionalFormatting>
  <conditionalFormatting sqref="K55">
    <cfRule type="expression" dxfId="147" priority="8082" stopIfTrue="1">
      <formula>AND($B55&lt;&gt;"COMPOSICAO",$B55&lt;&gt;"INSUMO",$B55&lt;&gt;"")</formula>
    </cfRule>
    <cfRule type="expression" dxfId="146" priority="8083" stopIfTrue="1">
      <formula>AND(OR($B55="COMPOSICAO",$B55="INSUMO",$B55&lt;&gt;""),$B55&lt;&gt;"")</formula>
    </cfRule>
  </conditionalFormatting>
  <conditionalFormatting sqref="B57:F58">
    <cfRule type="expression" dxfId="145" priority="7536" stopIfTrue="1">
      <formula>AND($A57&lt;&gt;"COMPOSICAO",$A57&lt;&gt;"INSUMO",$A57&lt;&gt;"")</formula>
    </cfRule>
    <cfRule type="expression" dxfId="144" priority="7537" stopIfTrue="1">
      <formula>AND(OR($A57="COMPOSICAO",$A57="INSUMO",$A57&lt;&gt;""),$A57&lt;&gt;"")</formula>
    </cfRule>
  </conditionalFormatting>
  <conditionalFormatting sqref="J55">
    <cfRule type="expression" dxfId="143" priority="7534" stopIfTrue="1">
      <formula>AND($B55&lt;&gt;"COMPOSICAO",$B55&lt;&gt;"INSUMO",$B55&lt;&gt;"")</formula>
    </cfRule>
    <cfRule type="expression" dxfId="142" priority="7535" stopIfTrue="1">
      <formula>AND(OR($B55="COMPOSICAO",$B55="INSUMO",$B55&lt;&gt;""),$B55&lt;&gt;"")</formula>
    </cfRule>
  </conditionalFormatting>
  <conditionalFormatting sqref="B147">
    <cfRule type="expression" dxfId="141" priority="1450" stopIfTrue="1">
      <formula>AND($B147&lt;&gt;"COMPOSICAO",$B147&lt;&gt;"INSUMO",$B147&lt;&gt;"")</formula>
    </cfRule>
    <cfRule type="expression" dxfId="140" priority="1451" stopIfTrue="1">
      <formula>AND(OR($B147="COMPOSICAO",$B147="INSUMO",$B147&lt;&gt;""),$B147&lt;&gt;"")</formula>
    </cfRule>
  </conditionalFormatting>
  <conditionalFormatting sqref="D147">
    <cfRule type="expression" dxfId="139" priority="1448" stopIfTrue="1">
      <formula>AND($B147&lt;&gt;"COMPOSICAO",$B147&lt;&gt;"INSUMO",$B147&lt;&gt;"")</formula>
    </cfRule>
    <cfRule type="expression" dxfId="138" priority="1449" stopIfTrue="1">
      <formula>AND(OR($B147="COMPOSICAO",$B147="INSUMO",$B147&lt;&gt;""),$B147&lt;&gt;"")</formula>
    </cfRule>
  </conditionalFormatting>
  <conditionalFormatting sqref="E147:H147">
    <cfRule type="expression" dxfId="137" priority="1446" stopIfTrue="1">
      <formula>AND($B147&lt;&gt;"COMPOSICAO",$B147&lt;&gt;"INSUMO",$B147&lt;&gt;"")</formula>
    </cfRule>
    <cfRule type="expression" dxfId="136" priority="1447" stopIfTrue="1">
      <formula>AND(OR($B147="COMPOSICAO",$B147="INSUMO",$B147&lt;&gt;""),$B147&lt;&gt;"")</formula>
    </cfRule>
  </conditionalFormatting>
  <conditionalFormatting sqref="K150">
    <cfRule type="dataBar" priority="144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{F62BC3D0-0D7F-4638-B8FB-D7E845D83916}</x14:id>
        </ext>
      </extLst>
    </cfRule>
  </conditionalFormatting>
  <conditionalFormatting sqref="K151">
    <cfRule type="dataBar" priority="144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{8A1EB7F3-4C9B-42FA-B2BD-1C15D1094DE6}</x14:id>
        </ext>
      </extLst>
    </cfRule>
  </conditionalFormatting>
  <conditionalFormatting sqref="I147">
    <cfRule type="expression" dxfId="135" priority="1442" stopIfTrue="1">
      <formula>AND($B147&lt;&gt;"COMPOSICAO",$B147&lt;&gt;"INSUMO",$B147&lt;&gt;"")</formula>
    </cfRule>
    <cfRule type="expression" dxfId="134" priority="1443" stopIfTrue="1">
      <formula>AND(OR($B147="COMPOSICAO",$B147="INSUMO",$B147&lt;&gt;""),$B147&lt;&gt;"")</formula>
    </cfRule>
  </conditionalFormatting>
  <conditionalFormatting sqref="J147">
    <cfRule type="expression" dxfId="133" priority="1440" stopIfTrue="1">
      <formula>AND($B147&lt;&gt;"COMPOSICAO",$B147&lt;&gt;"INSUMO",$B147&lt;&gt;"")</formula>
    </cfRule>
    <cfRule type="expression" dxfId="132" priority="1441" stopIfTrue="1">
      <formula>AND(OR($B147="COMPOSICAO",$B147="INSUMO",$B147&lt;&gt;""),$B147&lt;&gt;"")</formula>
    </cfRule>
  </conditionalFormatting>
  <conditionalFormatting sqref="K147">
    <cfRule type="expression" dxfId="131" priority="1438" stopIfTrue="1">
      <formula>AND($B147&lt;&gt;"COMPOSICAO",$B147&lt;&gt;"INSUMO",$B147&lt;&gt;"")</formula>
    </cfRule>
    <cfRule type="expression" dxfId="130" priority="1439" stopIfTrue="1">
      <formula>AND(OR($B147="COMPOSICAO",$B147="INSUMO",$B147&lt;&gt;""),$B147&lt;&gt;"")</formula>
    </cfRule>
  </conditionalFormatting>
  <conditionalFormatting sqref="B153:C153">
    <cfRule type="expression" dxfId="129" priority="1436" stopIfTrue="1">
      <formula>AND($B153&lt;&gt;"COMPOSICAO",$B153&lt;&gt;"INSUMO",$B153&lt;&gt;"")</formula>
    </cfRule>
    <cfRule type="expression" dxfId="128" priority="1437" stopIfTrue="1">
      <formula>AND(OR($B153="COMPOSICAO",$B153="INSUMO",$B153&lt;&gt;""),$B153&lt;&gt;"")</formula>
    </cfRule>
  </conditionalFormatting>
  <conditionalFormatting sqref="D153">
    <cfRule type="expression" dxfId="127" priority="1434" stopIfTrue="1">
      <formula>AND($B153&lt;&gt;"COMPOSICAO",$B153&lt;&gt;"INSUMO",$B153&lt;&gt;"")</formula>
    </cfRule>
    <cfRule type="expression" dxfId="126" priority="1435" stopIfTrue="1">
      <formula>AND(OR($B153="COMPOSICAO",$B153="INSUMO",$B153&lt;&gt;""),$B153&lt;&gt;"")</formula>
    </cfRule>
  </conditionalFormatting>
  <conditionalFormatting sqref="E153:H153">
    <cfRule type="expression" dxfId="125" priority="1432" stopIfTrue="1">
      <formula>AND($B153&lt;&gt;"COMPOSICAO",$B153&lt;&gt;"INSUMO",$B153&lt;&gt;"")</formula>
    </cfRule>
    <cfRule type="expression" dxfId="124" priority="1433" stopIfTrue="1">
      <formula>AND(OR($B153="COMPOSICAO",$B153="INSUMO",$B153&lt;&gt;""),$B153&lt;&gt;"")</formula>
    </cfRule>
  </conditionalFormatting>
  <conditionalFormatting sqref="K156">
    <cfRule type="dataBar" priority="143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{734B4F2A-DA03-4895-BD73-89FC9D30E1A1}</x14:id>
        </ext>
      </extLst>
    </cfRule>
  </conditionalFormatting>
  <conditionalFormatting sqref="I153">
    <cfRule type="expression" dxfId="123" priority="1428" stopIfTrue="1">
      <formula>AND($B153&lt;&gt;"COMPOSICAO",$B153&lt;&gt;"INSUMO",$B153&lt;&gt;"")</formula>
    </cfRule>
    <cfRule type="expression" dxfId="122" priority="1429" stopIfTrue="1">
      <formula>AND(OR($B153="COMPOSICAO",$B153="INSUMO",$B153&lt;&gt;""),$B153&lt;&gt;"")</formula>
    </cfRule>
  </conditionalFormatting>
  <conditionalFormatting sqref="J153">
    <cfRule type="expression" dxfId="121" priority="1426" stopIfTrue="1">
      <formula>AND($B153&lt;&gt;"COMPOSICAO",$B153&lt;&gt;"INSUMO",$B153&lt;&gt;"")</formula>
    </cfRule>
    <cfRule type="expression" dxfId="120" priority="1427" stopIfTrue="1">
      <formula>AND(OR($B153="COMPOSICAO",$B153="INSUMO",$B153&lt;&gt;""),$B153&lt;&gt;"")</formula>
    </cfRule>
  </conditionalFormatting>
  <conditionalFormatting sqref="K153">
    <cfRule type="expression" dxfId="119" priority="1424" stopIfTrue="1">
      <formula>AND($B153&lt;&gt;"COMPOSICAO",$B153&lt;&gt;"INSUMO",$B153&lt;&gt;"")</formula>
    </cfRule>
    <cfRule type="expression" dxfId="118" priority="1425" stopIfTrue="1">
      <formula>AND(OR($B153="COMPOSICAO",$B153="INSUMO",$B153&lt;&gt;""),$B153&lt;&gt;"")</formula>
    </cfRule>
  </conditionalFormatting>
  <conditionalFormatting sqref="C147">
    <cfRule type="expression" dxfId="117" priority="1408" stopIfTrue="1">
      <formula>AND($B147&lt;&gt;"COMPOSICAO",$B147&lt;&gt;"INSUMO",$B147&lt;&gt;"")</formula>
    </cfRule>
    <cfRule type="expression" dxfId="116" priority="1409" stopIfTrue="1">
      <formula>AND(OR($B147="COMPOSICAO",$B147="INSUMO",$B147&lt;&gt;""),$B147&lt;&gt;"")</formula>
    </cfRule>
  </conditionalFormatting>
  <conditionalFormatting sqref="B99:C99">
    <cfRule type="expression" dxfId="115" priority="1405" stopIfTrue="1">
      <formula>AND($B99&lt;&gt;"COMPOSICAO",$B99&lt;&gt;"INSUMO",$B99&lt;&gt;"")</formula>
    </cfRule>
    <cfRule type="expression" dxfId="114" priority="1406" stopIfTrue="1">
      <formula>AND(OR($B99="COMPOSICAO",$B99="INSUMO",$B99&lt;&gt;""),$B99&lt;&gt;"")</formula>
    </cfRule>
  </conditionalFormatting>
  <conditionalFormatting sqref="D99">
    <cfRule type="expression" dxfId="113" priority="1403" stopIfTrue="1">
      <formula>AND($B99&lt;&gt;"COMPOSICAO",$B99&lt;&gt;"INSUMO",$B99&lt;&gt;"")</formula>
    </cfRule>
    <cfRule type="expression" dxfId="112" priority="1404" stopIfTrue="1">
      <formula>AND(OR($B99="COMPOSICAO",$B99="INSUMO",$B99&lt;&gt;""),$B99&lt;&gt;"")</formula>
    </cfRule>
  </conditionalFormatting>
  <conditionalFormatting sqref="J99">
    <cfRule type="expression" dxfId="111" priority="1399" stopIfTrue="1">
      <formula>AND($B99&lt;&gt;"COMPOSICAO",$B99&lt;&gt;"INSUMO",$B99&lt;&gt;"")</formula>
    </cfRule>
    <cfRule type="expression" dxfId="110" priority="1400" stopIfTrue="1">
      <formula>AND(OR($B99="COMPOSICAO",$B99="INSUMO",$B99&lt;&gt;""),$B99&lt;&gt;"")</formula>
    </cfRule>
  </conditionalFormatting>
  <conditionalFormatting sqref="E99:H99">
    <cfRule type="expression" dxfId="109" priority="1401" stopIfTrue="1">
      <formula>AND($B99&lt;&gt;"COMPOSICAO",$B99&lt;&gt;"INSUMO",$B99&lt;&gt;"")</formula>
    </cfRule>
    <cfRule type="expression" dxfId="108" priority="1402" stopIfTrue="1">
      <formula>AND(OR($B99="COMPOSICAO",$B99="INSUMO",$B99&lt;&gt;""),$B99&lt;&gt;"")</formula>
    </cfRule>
  </conditionalFormatting>
  <conditionalFormatting sqref="I99">
    <cfRule type="expression" dxfId="107" priority="1397" stopIfTrue="1">
      <formula>AND($B99&lt;&gt;"COMPOSICAO",$B99&lt;&gt;"INSUMO",$B99&lt;&gt;"")</formula>
    </cfRule>
    <cfRule type="expression" dxfId="106" priority="1398" stopIfTrue="1">
      <formula>AND(OR($B99="COMPOSICAO",$B99="INSUMO",$B99&lt;&gt;""),$B99&lt;&gt;"")</formula>
    </cfRule>
  </conditionalFormatting>
  <conditionalFormatting sqref="K103">
    <cfRule type="dataBar" priority="140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{4DBC998F-B964-42A9-BE6C-567CC413BD0F}</x14:id>
        </ext>
      </extLst>
    </cfRule>
  </conditionalFormatting>
  <conditionalFormatting sqref="K99">
    <cfRule type="expression" dxfId="105" priority="1395" stopIfTrue="1">
      <formula>AND($B99&lt;&gt;"COMPOSICAO",$B99&lt;&gt;"INSUMO",$B99&lt;&gt;"")</formula>
    </cfRule>
    <cfRule type="expression" dxfId="104" priority="1396" stopIfTrue="1">
      <formula>AND(OR($B99="COMPOSICAO",$B99="INSUMO",$B99&lt;&gt;""),$B99&lt;&gt;"")</formula>
    </cfRule>
  </conditionalFormatting>
  <conditionalFormatting sqref="G105">
    <cfRule type="expression" dxfId="103" priority="1367" stopIfTrue="1">
      <formula>AND($B105&lt;&gt;"COMPOSICAO",$B105&lt;&gt;"INSUMO",$B105&lt;&gt;"")</formula>
    </cfRule>
    <cfRule type="expression" dxfId="102" priority="1368" stopIfTrue="1">
      <formula>AND(OR($B105="COMPOSICAO",$B105="INSUMO",$B105&lt;&gt;""),$B105&lt;&gt;"")</formula>
    </cfRule>
  </conditionalFormatting>
  <conditionalFormatting sqref="G110">
    <cfRule type="expression" dxfId="101" priority="1365" stopIfTrue="1">
      <formula>AND($B110&lt;&gt;"COMPOSICAO",$B110&lt;&gt;"INSUMO",$B110&lt;&gt;"")</formula>
    </cfRule>
    <cfRule type="expression" dxfId="100" priority="1366" stopIfTrue="1">
      <formula>AND(OR($B110="COMPOSICAO",$B110="INSUMO",$B110&lt;&gt;""),$B110&lt;&gt;"")</formula>
    </cfRule>
  </conditionalFormatting>
  <conditionalFormatting sqref="D83">
    <cfRule type="expression" dxfId="99" priority="1359" stopIfTrue="1">
      <formula>AND($B83&lt;&gt;"COMPOSICAO",$B83&lt;&gt;"INSUMO",$B83&lt;&gt;"")</formula>
    </cfRule>
    <cfRule type="expression" dxfId="98" priority="1360" stopIfTrue="1">
      <formula>AND(OR($B83="COMPOSICAO",$B83="INSUMO",$B83&lt;&gt;""),$B83&lt;&gt;"")</formula>
    </cfRule>
  </conditionalFormatting>
  <conditionalFormatting sqref="E83:H83">
    <cfRule type="expression" dxfId="97" priority="1357" stopIfTrue="1">
      <formula>AND($B83&lt;&gt;"COMPOSICAO",$B83&lt;&gt;"INSUMO",$B83&lt;&gt;"")</formula>
    </cfRule>
    <cfRule type="expression" dxfId="96" priority="1358" stopIfTrue="1">
      <formula>AND(OR($B83="COMPOSICAO",$B83="INSUMO",$B83&lt;&gt;""),$B83&lt;&gt;"")</formula>
    </cfRule>
  </conditionalFormatting>
  <conditionalFormatting sqref="B83">
    <cfRule type="expression" dxfId="95" priority="1361" stopIfTrue="1">
      <formula>AND($B83&lt;&gt;"COMPOSICAO",$B83&lt;&gt;"INSUMO",$B83&lt;&gt;"")</formula>
    </cfRule>
    <cfRule type="expression" dxfId="94" priority="1362" stopIfTrue="1">
      <formula>AND(OR($B83="COMPOSICAO",$B83="INSUMO",$B83&lt;&gt;""),$B83&lt;&gt;"")</formula>
    </cfRule>
  </conditionalFormatting>
  <conditionalFormatting sqref="I83">
    <cfRule type="expression" dxfId="93" priority="1355" stopIfTrue="1">
      <formula>AND($B83&lt;&gt;"COMPOSICAO",$B83&lt;&gt;"INSUMO",$B83&lt;&gt;"")</formula>
    </cfRule>
    <cfRule type="expression" dxfId="92" priority="1356" stopIfTrue="1">
      <formula>AND(OR($B83="COMPOSICAO",$B83="INSUMO",$B83&lt;&gt;""),$B83&lt;&gt;"")</formula>
    </cfRule>
  </conditionalFormatting>
  <conditionalFormatting sqref="J83">
    <cfRule type="expression" dxfId="91" priority="1353" stopIfTrue="1">
      <formula>AND($B83&lt;&gt;"COMPOSICAO",$B83&lt;&gt;"INSUMO",$B83&lt;&gt;"")</formula>
    </cfRule>
    <cfRule type="expression" dxfId="90" priority="1354" stopIfTrue="1">
      <formula>AND(OR($B83="COMPOSICAO",$B83="INSUMO",$B83&lt;&gt;""),$B83&lt;&gt;"")</formula>
    </cfRule>
  </conditionalFormatting>
  <conditionalFormatting sqref="K83">
    <cfRule type="expression" dxfId="89" priority="1351" stopIfTrue="1">
      <formula>AND($B83&lt;&gt;"COMPOSICAO",$B83&lt;&gt;"INSUMO",$B83&lt;&gt;"")</formula>
    </cfRule>
    <cfRule type="expression" dxfId="88" priority="1352" stopIfTrue="1">
      <formula>AND(OR($B83="COMPOSICAO",$B83="INSUMO",$B83&lt;&gt;""),$B83&lt;&gt;"")</formula>
    </cfRule>
  </conditionalFormatting>
  <conditionalFormatting sqref="I203">
    <cfRule type="expression" dxfId="87" priority="1327" stopIfTrue="1">
      <formula>AND($B203&lt;&gt;"COMPOSICAO",$B203&lt;&gt;"INSUMO",$B203&lt;&gt;"")</formula>
    </cfRule>
    <cfRule type="expression" dxfId="86" priority="1328" stopIfTrue="1">
      <formula>AND(OR($B203="COMPOSICAO",$B203="INSUMO",$B203&lt;&gt;""),$B203&lt;&gt;"")</formula>
    </cfRule>
  </conditionalFormatting>
  <conditionalFormatting sqref="J203">
    <cfRule type="expression" dxfId="85" priority="1325" stopIfTrue="1">
      <formula>AND($B203&lt;&gt;"COMPOSICAO",$B203&lt;&gt;"INSUMO",$B203&lt;&gt;"")</formula>
    </cfRule>
    <cfRule type="expression" dxfId="84" priority="1326" stopIfTrue="1">
      <formula>AND(OR($B203="COMPOSICAO",$B203="INSUMO",$B203&lt;&gt;""),$B203&lt;&gt;"")</formula>
    </cfRule>
  </conditionalFormatting>
  <conditionalFormatting sqref="K203">
    <cfRule type="expression" dxfId="83" priority="1323" stopIfTrue="1">
      <formula>AND($B203&lt;&gt;"COMPOSICAO",$B203&lt;&gt;"INSUMO",$B203&lt;&gt;"")</formula>
    </cfRule>
    <cfRule type="expression" dxfId="82" priority="1324" stopIfTrue="1">
      <formula>AND(OR($B203="COMPOSICAO",$B203="INSUMO",$B203&lt;&gt;""),$B203&lt;&gt;"")</formula>
    </cfRule>
  </conditionalFormatting>
  <conditionalFormatting sqref="I213">
    <cfRule type="expression" dxfId="81" priority="1321" stopIfTrue="1">
      <formula>AND($B213&lt;&gt;"COMPOSICAO",$B213&lt;&gt;"INSUMO",$B213&lt;&gt;"")</formula>
    </cfRule>
    <cfRule type="expression" dxfId="80" priority="1322" stopIfTrue="1">
      <formula>AND(OR($B213="COMPOSICAO",$B213="INSUMO",$B213&lt;&gt;""),$B213&lt;&gt;"")</formula>
    </cfRule>
  </conditionalFormatting>
  <conditionalFormatting sqref="J213">
    <cfRule type="expression" dxfId="79" priority="1319" stopIfTrue="1">
      <formula>AND($B213&lt;&gt;"COMPOSICAO",$B213&lt;&gt;"INSUMO",$B213&lt;&gt;"")</formula>
    </cfRule>
    <cfRule type="expression" dxfId="78" priority="1320" stopIfTrue="1">
      <formula>AND(OR($B213="COMPOSICAO",$B213="INSUMO",$B213&lt;&gt;""),$B213&lt;&gt;"")</formula>
    </cfRule>
  </conditionalFormatting>
  <conditionalFormatting sqref="K213">
    <cfRule type="expression" dxfId="77" priority="1317" stopIfTrue="1">
      <formula>AND($B213&lt;&gt;"COMPOSICAO",$B213&lt;&gt;"INSUMO",$B213&lt;&gt;"")</formula>
    </cfRule>
    <cfRule type="expression" dxfId="76" priority="1318" stopIfTrue="1">
      <formula>AND(OR($B213="COMPOSICAO",$B213="INSUMO",$B213&lt;&gt;""),$B213&lt;&gt;"")</formula>
    </cfRule>
  </conditionalFormatting>
  <conditionalFormatting sqref="I198">
    <cfRule type="expression" dxfId="75" priority="1315" stopIfTrue="1">
      <formula>AND($B198&lt;&gt;"COMPOSICAO",$B198&lt;&gt;"INSUMO",$B198&lt;&gt;"")</formula>
    </cfRule>
    <cfRule type="expression" dxfId="74" priority="1316" stopIfTrue="1">
      <formula>AND(OR($B198="COMPOSICAO",$B198="INSUMO",$B198&lt;&gt;""),$B198&lt;&gt;"")</formula>
    </cfRule>
  </conditionalFormatting>
  <conditionalFormatting sqref="J198">
    <cfRule type="expression" dxfId="73" priority="1313" stopIfTrue="1">
      <formula>AND($B198&lt;&gt;"COMPOSICAO",$B198&lt;&gt;"INSUMO",$B198&lt;&gt;"")</formula>
    </cfRule>
    <cfRule type="expression" dxfId="72" priority="1314" stopIfTrue="1">
      <formula>AND(OR($B198="COMPOSICAO",$B198="INSUMO",$B198&lt;&gt;""),$B198&lt;&gt;"")</formula>
    </cfRule>
  </conditionalFormatting>
  <conditionalFormatting sqref="K198">
    <cfRule type="expression" dxfId="71" priority="1311" stopIfTrue="1">
      <formula>AND($B198&lt;&gt;"COMPOSICAO",$B198&lt;&gt;"INSUMO",$B198&lt;&gt;"")</formula>
    </cfRule>
    <cfRule type="expression" dxfId="70" priority="1312" stopIfTrue="1">
      <formula>AND(OR($B198="COMPOSICAO",$B198="INSUMO",$B198&lt;&gt;""),$B198&lt;&gt;"")</formula>
    </cfRule>
  </conditionalFormatting>
  <conditionalFormatting sqref="K39">
    <cfRule type="expression" dxfId="69" priority="1223" stopIfTrue="1">
      <formula>AND($B39&lt;&gt;"COMPOSICAO",$B39&lt;&gt;"INSUMO",$B39&lt;&gt;"")</formula>
    </cfRule>
    <cfRule type="expression" dxfId="68" priority="1224" stopIfTrue="1">
      <formula>AND(OR($B39="COMPOSICAO",$B39="INSUMO",$B39&lt;&gt;""),$B39&lt;&gt;"")</formula>
    </cfRule>
  </conditionalFormatting>
  <conditionalFormatting sqref="B39:D39 F39">
    <cfRule type="expression" dxfId="67" priority="1227" stopIfTrue="1">
      <formula>AND($B39&lt;&gt;"COMPOSICAO",$B39&lt;&gt;"INSUMO",$B39&lt;&gt;"")</formula>
    </cfRule>
    <cfRule type="expression" dxfId="66" priority="1228" stopIfTrue="1">
      <formula>AND(OR($B39="COMPOSICAO",$B39="INSUMO",$B39&lt;&gt;""),$B39&lt;&gt;"")</formula>
    </cfRule>
  </conditionalFormatting>
  <conditionalFormatting sqref="G39:H39">
    <cfRule type="expression" dxfId="65" priority="1225" stopIfTrue="1">
      <formula>AND($B39&lt;&gt;"COMPOSICAO",$B39&lt;&gt;"INSUMO",$B39&lt;&gt;"")</formula>
    </cfRule>
    <cfRule type="expression" dxfId="64" priority="1226" stopIfTrue="1">
      <formula>AND(OR($B39="COMPOSICAO",$B39="INSUMO",$B39&lt;&gt;""),$B39&lt;&gt;"")</formula>
    </cfRule>
  </conditionalFormatting>
  <conditionalFormatting sqref="B41:B42 D40:F42">
    <cfRule type="expression" dxfId="63" priority="1221" stopIfTrue="1">
      <formula>AND($A40&lt;&gt;"COMPOSICAO",$A40&lt;&gt;"INSUMO",$A40&lt;&gt;"")</formula>
    </cfRule>
    <cfRule type="expression" dxfId="62" priority="1222" stopIfTrue="1">
      <formula>AND(OR($A40="COMPOSICAO",$A40="INSUMO",$A40&lt;&gt;""),$A40&lt;&gt;"")</formula>
    </cfRule>
  </conditionalFormatting>
  <conditionalFormatting sqref="D40:D42">
    <cfRule type="expression" dxfId="61" priority="1219" stopIfTrue="1">
      <formula>AND($A40&lt;&gt;"COMPOSICAO",$A40&lt;&gt;"INSUMO",$A40&lt;&gt;"")</formula>
    </cfRule>
    <cfRule type="expression" dxfId="60" priority="1220" stopIfTrue="1">
      <formula>AND(OR($A40="COMPOSICAO",$A40="INSUMO",$A40&lt;&gt;""),$A40&lt;&gt;"")</formula>
    </cfRule>
  </conditionalFormatting>
  <conditionalFormatting sqref="E40:E42">
    <cfRule type="expression" dxfId="59" priority="1217" stopIfTrue="1">
      <formula>AND($A40&lt;&gt;"COMPOSICAO",$A40&lt;&gt;"INSUMO",$A40&lt;&gt;"")</formula>
    </cfRule>
    <cfRule type="expression" dxfId="58" priority="1218" stopIfTrue="1">
      <formula>AND(OR($A40="COMPOSICAO",$A40="INSUMO",$A40&lt;&gt;""),$A40&lt;&gt;"")</formula>
    </cfRule>
  </conditionalFormatting>
  <conditionalFormatting sqref="F40:F42">
    <cfRule type="expression" dxfId="57" priority="1215" stopIfTrue="1">
      <formula>AND($A40&lt;&gt;"COMPOSICAO",$A40&lt;&gt;"INSUMO",$A40&lt;&gt;"")</formula>
    </cfRule>
    <cfRule type="expression" dxfId="56" priority="1216" stopIfTrue="1">
      <formula>AND(OR($A40="COMPOSICAO",$A40="INSUMO",$A40&lt;&gt;""),$A40&lt;&gt;"")</formula>
    </cfRule>
  </conditionalFormatting>
  <conditionalFormatting sqref="I39:J39">
    <cfRule type="expression" dxfId="55" priority="1213" stopIfTrue="1">
      <formula>AND($B39&lt;&gt;"COMPOSICAO",$B39&lt;&gt;"INSUMO",$B39&lt;&gt;"")</formula>
    </cfRule>
    <cfRule type="expression" dxfId="54" priority="1214" stopIfTrue="1">
      <formula>AND(OR($B39="COMPOSICAO",$B39="INSUMO",$B39&lt;&gt;""),$B39&lt;&gt;"")</formula>
    </cfRule>
  </conditionalFormatting>
  <conditionalFormatting sqref="B40">
    <cfRule type="expression" dxfId="53" priority="1211" stopIfTrue="1">
      <formula>AND($A40&lt;&gt;"COMPOSICAO",$A40&lt;&gt;"INSUMO",$A40&lt;&gt;"")</formula>
    </cfRule>
    <cfRule type="expression" dxfId="52" priority="1212" stopIfTrue="1">
      <formula>AND(OR($A40="COMPOSICAO",$A40="INSUMO",$A40&lt;&gt;""),$A40&lt;&gt;"")</formula>
    </cfRule>
  </conditionalFormatting>
  <conditionalFormatting sqref="E39">
    <cfRule type="expression" dxfId="51" priority="1209" stopIfTrue="1">
      <formula>AND($B39&lt;&gt;"COMPOSICAO",$B39&lt;&gt;"INSUMO",$B39&lt;&gt;"")</formula>
    </cfRule>
    <cfRule type="expression" dxfId="50" priority="1210" stopIfTrue="1">
      <formula>AND(OR($B39="COMPOSICAO",$B39="INSUMO",$B39&lt;&gt;""),$B39&lt;&gt;"")</formula>
    </cfRule>
  </conditionalFormatting>
  <conditionalFormatting sqref="K157:K158">
    <cfRule type="dataBar" priority="1024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{A886D591-9398-4599-B09E-DEB7801E41D8}</x14:id>
        </ext>
      </extLst>
    </cfRule>
  </conditionalFormatting>
  <conditionalFormatting sqref="C188:F188">
    <cfRule type="expression" dxfId="49" priority="59" stopIfTrue="1">
      <formula>AND($A188&lt;&gt;"COMPOSICAO",$A188&lt;&gt;"INSUMO",$A188&lt;&gt;"")</formula>
    </cfRule>
    <cfRule type="expression" dxfId="48" priority="60" stopIfTrue="1">
      <formula>AND(OR($A188="COMPOSICAO",$A188="INSUMO",$A188&lt;&gt;""),$A188&lt;&gt;"")</formula>
    </cfRule>
  </conditionalFormatting>
  <conditionalFormatting sqref="H188">
    <cfRule type="expression" dxfId="47" priority="63" stopIfTrue="1">
      <formula>AND($B188&lt;&gt;"COMPOSICAO",$B188&lt;&gt;"INSUMO",$B188&lt;&gt;"")</formula>
    </cfRule>
    <cfRule type="expression" dxfId="46" priority="64" stopIfTrue="1">
      <formula>AND(OR($B188="COMPOSICAO",$B188="INSUMO",$B188&lt;&gt;""),$B188&lt;&gt;"")</formula>
    </cfRule>
  </conditionalFormatting>
  <conditionalFormatting sqref="B185:G185">
    <cfRule type="expression" dxfId="45" priority="73" stopIfTrue="1">
      <formula>AND($B185&lt;&gt;"COMPOSICAO",$B185&lt;&gt;"INSUMO",$B185&lt;&gt;"")</formula>
    </cfRule>
    <cfRule type="expression" dxfId="44" priority="74" stopIfTrue="1">
      <formula>AND(OR($B185="COMPOSICAO",$B185="INSUMO",$B185&lt;&gt;""),$B185&lt;&gt;"")</formula>
    </cfRule>
  </conditionalFormatting>
  <conditionalFormatting sqref="H185">
    <cfRule type="expression" dxfId="43" priority="71" stopIfTrue="1">
      <formula>AND($B185&lt;&gt;"COMPOSICAO",$B185&lt;&gt;"INSUMO",$B185&lt;&gt;"")</formula>
    </cfRule>
    <cfRule type="expression" dxfId="42" priority="72" stopIfTrue="1">
      <formula>AND(OR($B185="COMPOSICAO",$B185="INSUMO",$B185&lt;&gt;""),$B185&lt;&gt;"")</formula>
    </cfRule>
  </conditionalFormatting>
  <conditionalFormatting sqref="J185">
    <cfRule type="expression" dxfId="41" priority="67" stopIfTrue="1">
      <formula>AND($B185&lt;&gt;"COMPOSICAO",$B185&lt;&gt;"INSUMO",$B185&lt;&gt;"")</formula>
    </cfRule>
    <cfRule type="expression" dxfId="40" priority="68" stopIfTrue="1">
      <formula>AND(OR($B185="COMPOSICAO",$B185="INSUMO",$B185&lt;&gt;""),$B185&lt;&gt;"")</formula>
    </cfRule>
  </conditionalFormatting>
  <conditionalFormatting sqref="I185">
    <cfRule type="expression" dxfId="39" priority="69" stopIfTrue="1">
      <formula>AND($B185&lt;&gt;"COMPOSICAO",$B185&lt;&gt;"INSUMO",$B185&lt;&gt;"")</formula>
    </cfRule>
    <cfRule type="expression" dxfId="38" priority="70" stopIfTrue="1">
      <formula>AND(OR($B185="COMPOSICAO",$B185="INSUMO",$B185&lt;&gt;""),$B185&lt;&gt;"")</formula>
    </cfRule>
  </conditionalFormatting>
  <conditionalFormatting sqref="K185">
    <cfRule type="expression" dxfId="37" priority="65" stopIfTrue="1">
      <formula>AND($B185&lt;&gt;"COMPOSICAO",$B185&lt;&gt;"INSUMO",$B185&lt;&gt;"")</formula>
    </cfRule>
    <cfRule type="expression" dxfId="36" priority="66" stopIfTrue="1">
      <formula>AND(OR($B185="COMPOSICAO",$B185="INSUMO",$B185&lt;&gt;""),$B185&lt;&gt;"")</formula>
    </cfRule>
  </conditionalFormatting>
  <conditionalFormatting sqref="B51:B53">
    <cfRule type="expression" dxfId="35" priority="53" stopIfTrue="1">
      <formula>AND($A51&lt;&gt;"COMPOSICAO",$A51&lt;&gt;"INSUMO",$A51&lt;&gt;"")</formula>
    </cfRule>
    <cfRule type="expression" dxfId="34" priority="54" stopIfTrue="1">
      <formula>AND(OR($A51="COMPOSICAO",$A51="INSUMO",$A51&lt;&gt;""),$A51&lt;&gt;"")</formula>
    </cfRule>
  </conditionalFormatting>
  <conditionalFormatting sqref="C44">
    <cfRule type="expression" dxfId="33" priority="49" stopIfTrue="1">
      <formula>AND($B44&lt;&gt;"COMPOSICAO",$B44&lt;&gt;"INSUMO",$B44&lt;&gt;"")</formula>
    </cfRule>
    <cfRule type="expression" dxfId="32" priority="50" stopIfTrue="1">
      <formula>AND(OR($B44="COMPOSICAO",$B44="INSUMO",$B44&lt;&gt;""),$B44&lt;&gt;"")</formula>
    </cfRule>
  </conditionalFormatting>
  <conditionalFormatting sqref="I192">
    <cfRule type="expression" dxfId="31" priority="43" stopIfTrue="1">
      <formula>AND($B192&lt;&gt;"COMPOSICAO",$B192&lt;&gt;"INSUMO",$B192&lt;&gt;"")</formula>
    </cfRule>
    <cfRule type="expression" dxfId="30" priority="44" stopIfTrue="1">
      <formula>AND(OR($B192="COMPOSICAO",$B192="INSUMO",$B192&lt;&gt;""),$B192&lt;&gt;"")</formula>
    </cfRule>
  </conditionalFormatting>
  <conditionalFormatting sqref="J192">
    <cfRule type="expression" dxfId="29" priority="41" stopIfTrue="1">
      <formula>AND($B192&lt;&gt;"COMPOSICAO",$B192&lt;&gt;"INSUMO",$B192&lt;&gt;"")</formula>
    </cfRule>
    <cfRule type="expression" dxfId="28" priority="42" stopIfTrue="1">
      <formula>AND(OR($B192="COMPOSICAO",$B192="INSUMO",$B192&lt;&gt;""),$B192&lt;&gt;"")</formula>
    </cfRule>
  </conditionalFormatting>
  <conditionalFormatting sqref="K192">
    <cfRule type="expression" dxfId="27" priority="39" stopIfTrue="1">
      <formula>AND($B192&lt;&gt;"COMPOSICAO",$B192&lt;&gt;"INSUMO",$B192&lt;&gt;"")</formula>
    </cfRule>
    <cfRule type="expression" dxfId="26" priority="40" stopIfTrue="1">
      <formula>AND(OR($B192="COMPOSICAO",$B192="INSUMO",$B192&lt;&gt;""),$B192&lt;&gt;"")</formula>
    </cfRule>
  </conditionalFormatting>
  <conditionalFormatting sqref="E89:G89">
    <cfRule type="expression" dxfId="25" priority="27" stopIfTrue="1">
      <formula>AND($B89&lt;&gt;"COMPOSICAO",$B89&lt;&gt;"INSUMO",$B89&lt;&gt;"")</formula>
    </cfRule>
    <cfRule type="expression" dxfId="24" priority="28" stopIfTrue="1">
      <formula>AND(OR($B89="COMPOSICAO",$B89="INSUMO",$B89&lt;&gt;""),$B89&lt;&gt;"")</formula>
    </cfRule>
  </conditionalFormatting>
  <conditionalFormatting sqref="D89">
    <cfRule type="expression" dxfId="23" priority="29" stopIfTrue="1">
      <formula>AND($B89&lt;&gt;"COMPOSICAO",$B89&lt;&gt;"INSUMO",$B89&lt;&gt;"")</formula>
    </cfRule>
    <cfRule type="expression" dxfId="22" priority="30" stopIfTrue="1">
      <formula>AND(OR($B89="COMPOSICAO",$B89="INSUMO",$B89&lt;&gt;""),$B89&lt;&gt;"")</formula>
    </cfRule>
  </conditionalFormatting>
  <conditionalFormatting sqref="B89">
    <cfRule type="expression" dxfId="21" priority="31" stopIfTrue="1">
      <formula>AND($B89&lt;&gt;"COMPOSICAO",$B89&lt;&gt;"INSUMO",$B89&lt;&gt;"")</formula>
    </cfRule>
    <cfRule type="expression" dxfId="20" priority="32" stopIfTrue="1">
      <formula>AND(OR($B89="COMPOSICAO",$B89="INSUMO",$B89&lt;&gt;""),$B89&lt;&gt;"")</formula>
    </cfRule>
  </conditionalFormatting>
  <conditionalFormatting sqref="C89">
    <cfRule type="expression" dxfId="19" priority="25" stopIfTrue="1">
      <formula>AND($B89&lt;&gt;"COMPOSICAO",$B89&lt;&gt;"INSUMO",$B89&lt;&gt;"")</formula>
    </cfRule>
    <cfRule type="expression" dxfId="18" priority="26" stopIfTrue="1">
      <formula>AND(OR($B89="COMPOSICAO",$B89="INSUMO",$B89&lt;&gt;""),$B89&lt;&gt;"")</formula>
    </cfRule>
  </conditionalFormatting>
  <conditionalFormatting sqref="E94:G94">
    <cfRule type="expression" dxfId="17" priority="17" stopIfTrue="1">
      <formula>AND($B94&lt;&gt;"COMPOSICAO",$B94&lt;&gt;"INSUMO",$B94&lt;&gt;"")</formula>
    </cfRule>
    <cfRule type="expression" dxfId="16" priority="18" stopIfTrue="1">
      <formula>AND(OR($B94="COMPOSICAO",$B94="INSUMO",$B94&lt;&gt;""),$B94&lt;&gt;"")</formula>
    </cfRule>
  </conditionalFormatting>
  <conditionalFormatting sqref="D94">
    <cfRule type="expression" dxfId="15" priority="19" stopIfTrue="1">
      <formula>AND($B94&lt;&gt;"COMPOSICAO",$B94&lt;&gt;"INSUMO",$B94&lt;&gt;"")</formula>
    </cfRule>
    <cfRule type="expression" dxfId="14" priority="20" stopIfTrue="1">
      <formula>AND(OR($B94="COMPOSICAO",$B94="INSUMO",$B94&lt;&gt;""),$B94&lt;&gt;"")</formula>
    </cfRule>
  </conditionalFormatting>
  <conditionalFormatting sqref="B94">
    <cfRule type="expression" dxfId="13" priority="21" stopIfTrue="1">
      <formula>AND($B94&lt;&gt;"COMPOSICAO",$B94&lt;&gt;"INSUMO",$B94&lt;&gt;"")</formula>
    </cfRule>
    <cfRule type="expression" dxfId="12" priority="22" stopIfTrue="1">
      <formula>AND(OR($B94="COMPOSICAO",$B94="INSUMO",$B94&lt;&gt;""),$B94&lt;&gt;"")</formula>
    </cfRule>
  </conditionalFormatting>
  <conditionalFormatting sqref="C94">
    <cfRule type="expression" dxfId="11" priority="15" stopIfTrue="1">
      <formula>AND($B94&lt;&gt;"COMPOSICAO",$B94&lt;&gt;"INSUMO",$B94&lt;&gt;"")</formula>
    </cfRule>
    <cfRule type="expression" dxfId="10" priority="16" stopIfTrue="1">
      <formula>AND(OR($B94="COMPOSICAO",$B94="INSUMO",$B94&lt;&gt;""),$B94&lt;&gt;"")</formula>
    </cfRule>
  </conditionalFormatting>
  <conditionalFormatting sqref="B123:C123">
    <cfRule type="expression" dxfId="9" priority="9" stopIfTrue="1">
      <formula>AND($B123&lt;&gt;"COMPOSICAO",$B123&lt;&gt;"INSUMO",$B123&lt;&gt;"")</formula>
    </cfRule>
    <cfRule type="expression" dxfId="8" priority="10" stopIfTrue="1">
      <formula>AND(OR($B123="COMPOSICAO",$B123="INSUMO",$B123&lt;&gt;""),$B123&lt;&gt;"")</formula>
    </cfRule>
  </conditionalFormatting>
  <conditionalFormatting sqref="D123">
    <cfRule type="expression" dxfId="7" priority="7" stopIfTrue="1">
      <formula>AND($B123&lt;&gt;"COMPOSICAO",$B123&lt;&gt;"INSUMO",$B123&lt;&gt;"")</formula>
    </cfRule>
    <cfRule type="expression" dxfId="6" priority="8" stopIfTrue="1">
      <formula>AND(OR($B123="COMPOSICAO",$B123="INSUMO",$B123&lt;&gt;""),$B123&lt;&gt;"")</formula>
    </cfRule>
  </conditionalFormatting>
  <conditionalFormatting sqref="E123:F123">
    <cfRule type="expression" dxfId="5" priority="5" stopIfTrue="1">
      <formula>AND($B123&lt;&gt;"COMPOSICAO",$B123&lt;&gt;"INSUMO",$B123&lt;&gt;"")</formula>
    </cfRule>
    <cfRule type="expression" dxfId="4" priority="6" stopIfTrue="1">
      <formula>AND(OR($B123="COMPOSICAO",$B123="INSUMO",$B123&lt;&gt;""),$B123&lt;&gt;"")</formula>
    </cfRule>
  </conditionalFormatting>
  <printOptions gridLines="1"/>
  <pageMargins left="0.98425196850393704" right="1.7716535433070868" top="1.1811023622047245" bottom="0.78740157480314965" header="0.31496062992125984" footer="0.31496062992125984"/>
  <pageSetup paperSize="9" scale="70" orientation="landscape" r:id="rId1"/>
  <headerFooter>
    <oddFooter>&amp;RPágina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72582-8AF6-4CA2-AC23-D42FF1F2F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K104 K115</xm:sqref>
        </x14:conditionalFormatting>
        <x14:conditionalFormatting xmlns:xm="http://schemas.microsoft.com/office/excel/2006/main">
          <x14:cfRule type="dataBar" id="{CF91BB9B-C6E4-4106-84CD-8CA1E0C224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K126</xm:sqref>
        </x14:conditionalFormatting>
        <x14:conditionalFormatting xmlns:xm="http://schemas.microsoft.com/office/excel/2006/main">
          <x14:cfRule type="dataBar" id="{C71A746E-60E7-4915-A005-8CD5C92B72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K127</xm:sqref>
        </x14:conditionalFormatting>
        <x14:conditionalFormatting xmlns:xm="http://schemas.microsoft.com/office/excel/2006/main">
          <x14:cfRule type="dataBar" id="{9EF2D7A3-C78B-4DB3-9442-770BBA622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K132</xm:sqref>
        </x14:conditionalFormatting>
        <x14:conditionalFormatting xmlns:xm="http://schemas.microsoft.com/office/excel/2006/main">
          <x14:cfRule type="dataBar" id="{2AE48288-11F5-4EFA-BCF6-3612A080EF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K133</xm:sqref>
        </x14:conditionalFormatting>
        <x14:conditionalFormatting xmlns:xm="http://schemas.microsoft.com/office/excel/2006/main">
          <x14:cfRule type="dataBar" id="{6CAB6A5A-60B6-46D9-8DBD-3D02F8C2F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K138</xm:sqref>
        </x14:conditionalFormatting>
        <x14:conditionalFormatting xmlns:xm="http://schemas.microsoft.com/office/excel/2006/main">
          <x14:cfRule type="dataBar" id="{E854C594-7DED-4988-845C-88D94F4FBB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K139</xm:sqref>
        </x14:conditionalFormatting>
        <x14:conditionalFormatting xmlns:xm="http://schemas.microsoft.com/office/excel/2006/main">
          <x14:cfRule type="dataBar" id="{713F645D-3961-492A-93C0-D5E1F89C67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A98C0781-6B07-4924-9F03-9CD3F945BF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F62BC3D0-0D7F-4638-B8FB-D7E845D839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K150</xm:sqref>
        </x14:conditionalFormatting>
        <x14:conditionalFormatting xmlns:xm="http://schemas.microsoft.com/office/excel/2006/main">
          <x14:cfRule type="dataBar" id="{8A1EB7F3-4C9B-42FA-B2BD-1C15D1094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K151</xm:sqref>
        </x14:conditionalFormatting>
        <x14:conditionalFormatting xmlns:xm="http://schemas.microsoft.com/office/excel/2006/main">
          <x14:cfRule type="dataBar" id="{734B4F2A-DA03-4895-BD73-89FC9D30E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K156</xm:sqref>
        </x14:conditionalFormatting>
        <x14:conditionalFormatting xmlns:xm="http://schemas.microsoft.com/office/excel/2006/main">
          <x14:cfRule type="dataBar" id="{4DBC998F-B964-42A9-BE6C-567CC413BD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K103</xm:sqref>
        </x14:conditionalFormatting>
        <x14:conditionalFormatting xmlns:xm="http://schemas.microsoft.com/office/excel/2006/main">
          <x14:cfRule type="dataBar" id="{A886D591-9398-4599-B09E-DEB7801E41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K157:K158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I312"/>
  <sheetViews>
    <sheetView topLeftCell="A26" workbookViewId="0">
      <selection activeCell="A26" sqref="A1:XFD1048576"/>
    </sheetView>
  </sheetViews>
  <sheetFormatPr defaultColWidth="9.140625" defaultRowHeight="12.75"/>
  <cols>
    <col min="1" max="1" width="2.28515625" style="265" customWidth="1"/>
    <col min="2" max="2" width="35.85546875" style="265" customWidth="1"/>
    <col min="3" max="6" width="14.7109375" style="265" customWidth="1"/>
    <col min="7" max="7" width="2.28515625" style="265" customWidth="1"/>
    <col min="8" max="8" width="15.28515625" style="265" customWidth="1"/>
    <col min="9" max="9" width="18.140625" style="265" bestFit="1" customWidth="1"/>
    <col min="10" max="10" width="5.140625" style="265" customWidth="1"/>
    <col min="11" max="12" width="9.140625" style="265"/>
    <col min="13" max="13" width="18.7109375" style="265" customWidth="1"/>
    <col min="14" max="14" width="0" style="265" hidden="1" customWidth="1"/>
    <col min="15" max="15" width="15.42578125" style="265" hidden="1" customWidth="1"/>
    <col min="16" max="16" width="41.7109375" style="265" hidden="1" customWidth="1"/>
    <col min="17" max="17" width="18.85546875" style="265" hidden="1" customWidth="1"/>
    <col min="18" max="24" width="11.7109375" style="265" hidden="1" customWidth="1"/>
    <col min="25" max="37" width="0" style="265" hidden="1" customWidth="1"/>
    <col min="38" max="38" width="13.85546875" style="265" hidden="1" customWidth="1"/>
    <col min="39" max="39" width="38.7109375" style="265" hidden="1" customWidth="1"/>
    <col min="40" max="40" width="11.85546875" style="265" hidden="1" customWidth="1"/>
    <col min="41" max="41" width="8.7109375" style="265" hidden="1" customWidth="1"/>
    <col min="42" max="42" width="11.85546875" style="265" hidden="1" customWidth="1"/>
    <col min="43" max="43" width="9.28515625" style="265" hidden="1" customWidth="1"/>
    <col min="44" max="44" width="11.85546875" style="265" hidden="1" customWidth="1"/>
    <col min="45" max="45" width="1" style="265" hidden="1" customWidth="1"/>
    <col min="46" max="46" width="9.140625" style="265"/>
    <col min="47" max="47" width="13.28515625" style="265" bestFit="1" customWidth="1"/>
    <col min="48" max="71" width="9.140625" style="265"/>
    <col min="72" max="72" width="22.7109375" style="265" bestFit="1" customWidth="1"/>
    <col min="73" max="73" width="29" style="265" customWidth="1"/>
    <col min="74" max="74" width="9.5703125" style="265" customWidth="1"/>
    <col min="75" max="75" width="11.5703125" style="265" customWidth="1"/>
    <col min="76" max="76" width="10.7109375" style="265" customWidth="1"/>
    <col min="77" max="77" width="9.140625" style="265"/>
    <col min="78" max="81" width="2.42578125" style="265" customWidth="1"/>
    <col min="82" max="82" width="4.85546875" style="265" bestFit="1" customWidth="1"/>
    <col min="83" max="83" width="29.42578125" style="265" bestFit="1" customWidth="1"/>
    <col min="84" max="84" width="17" style="265" bestFit="1" customWidth="1"/>
    <col min="85" max="85" width="14.42578125" style="265" bestFit="1" customWidth="1"/>
    <col min="86" max="86" width="17" style="265" bestFit="1" customWidth="1"/>
    <col min="87" max="87" width="8.85546875" style="265" customWidth="1"/>
    <col min="88" max="97" width="2.42578125" style="265" customWidth="1"/>
    <col min="98" max="16384" width="9.140625" style="265"/>
  </cols>
  <sheetData>
    <row r="1" spans="1:11">
      <c r="A1" s="398" t="str">
        <f>[1]COMPOSIÇÃO!A2</f>
        <v>OBRA: IMPLANTAÇÃO DO SISTEMA DE ILUMINAÇÃO PÚBLICA DO TIPO ORNAMENTAL COM LUMINÁRIAS LED</v>
      </c>
      <c r="B1" s="399"/>
      <c r="C1" s="399"/>
      <c r="D1" s="399"/>
      <c r="E1" s="399"/>
      <c r="F1" s="399"/>
      <c r="G1" s="400"/>
    </row>
    <row r="2" spans="1:11" ht="25.15" customHeight="1">
      <c r="A2" s="412" t="s">
        <v>228</v>
      </c>
      <c r="B2" s="413"/>
      <c r="C2" s="413"/>
      <c r="D2" s="413"/>
      <c r="E2" s="413"/>
      <c r="F2" s="413"/>
      <c r="G2" s="414"/>
    </row>
    <row r="3" spans="1:11" ht="13.15" customHeight="1">
      <c r="A3" s="409" t="s">
        <v>340</v>
      </c>
      <c r="B3" s="410"/>
      <c r="C3" s="410"/>
      <c r="D3" s="410"/>
      <c r="E3" s="410"/>
      <c r="F3" s="410"/>
      <c r="G3" s="411"/>
    </row>
    <row r="4" spans="1:11" ht="13.15" customHeight="1" thickBot="1">
      <c r="A4" s="266"/>
      <c r="B4" s="267"/>
      <c r="C4" s="267"/>
      <c r="D4" s="267"/>
      <c r="E4" s="267"/>
      <c r="F4" s="267"/>
      <c r="G4" s="268"/>
    </row>
    <row r="5" spans="1:11" ht="15" customHeight="1" thickTop="1" thickBot="1">
      <c r="A5" s="269"/>
      <c r="B5" s="401" t="s">
        <v>229</v>
      </c>
      <c r="C5" s="401"/>
      <c r="D5" s="401"/>
      <c r="E5" s="401"/>
      <c r="F5" s="401"/>
      <c r="G5" s="270"/>
    </row>
    <row r="6" spans="1:11" s="274" customFormat="1" ht="16.5" thickTop="1">
      <c r="A6" s="271"/>
      <c r="B6" s="272"/>
      <c r="C6" s="272"/>
      <c r="D6" s="272"/>
      <c r="E6" s="272"/>
      <c r="F6" s="272"/>
      <c r="G6" s="273"/>
      <c r="H6" s="265"/>
      <c r="I6" s="265"/>
      <c r="J6" s="265"/>
    </row>
    <row r="7" spans="1:11" ht="26.45" customHeight="1">
      <c r="A7" s="271"/>
      <c r="B7" s="402" t="s">
        <v>230</v>
      </c>
      <c r="C7" s="402"/>
      <c r="D7" s="402"/>
      <c r="E7" s="402"/>
      <c r="F7" s="402"/>
      <c r="G7" s="273"/>
    </row>
    <row r="8" spans="1:11">
      <c r="A8" s="271"/>
      <c r="B8" s="277"/>
      <c r="C8" s="277"/>
      <c r="D8" s="277"/>
      <c r="E8" s="277"/>
      <c r="F8" s="277"/>
      <c r="G8" s="273"/>
    </row>
    <row r="9" spans="1:11" ht="27.6" customHeight="1">
      <c r="A9" s="271"/>
      <c r="B9" s="278" t="s">
        <v>231</v>
      </c>
      <c r="C9" s="403" t="s">
        <v>232</v>
      </c>
      <c r="D9" s="404"/>
      <c r="E9" s="404"/>
      <c r="F9" s="405"/>
      <c r="G9" s="273"/>
    </row>
    <row r="10" spans="1:11">
      <c r="A10" s="271"/>
      <c r="B10" s="277"/>
      <c r="C10" s="279"/>
      <c r="D10" s="279"/>
      <c r="E10" s="279"/>
      <c r="F10" s="279"/>
      <c r="G10" s="273"/>
      <c r="H10" s="274"/>
    </row>
    <row r="11" spans="1:11">
      <c r="A11" s="271"/>
      <c r="B11" s="278" t="s">
        <v>233</v>
      </c>
      <c r="C11" s="279"/>
      <c r="D11" s="279"/>
      <c r="E11" s="279"/>
      <c r="F11" s="280" t="s">
        <v>234</v>
      </c>
      <c r="G11" s="273"/>
      <c r="H11" s="274"/>
      <c r="K11" s="281" t="str">
        <f>IF(F11="","PREENCHER SE A OBRA POSSUI FOLHA DE PAGAMENTO DESONERADA","")</f>
        <v/>
      </c>
    </row>
    <row r="12" spans="1:11">
      <c r="A12" s="271"/>
      <c r="B12" s="282" t="s">
        <v>235</v>
      </c>
      <c r="C12" s="279"/>
      <c r="D12" s="279"/>
      <c r="E12" s="279"/>
      <c r="F12" s="279"/>
      <c r="G12" s="273"/>
      <c r="H12" s="274"/>
    </row>
    <row r="13" spans="1:11">
      <c r="A13" s="271"/>
      <c r="B13" s="277"/>
      <c r="C13" s="277"/>
      <c r="D13" s="277"/>
      <c r="E13" s="283"/>
      <c r="F13" s="277"/>
      <c r="G13" s="273"/>
      <c r="H13" s="274"/>
    </row>
    <row r="14" spans="1:11">
      <c r="A14" s="271"/>
      <c r="B14" s="277" t="s">
        <v>236</v>
      </c>
      <c r="C14" s="277"/>
      <c r="D14" s="277"/>
      <c r="E14" s="283"/>
      <c r="F14" s="277"/>
      <c r="G14" s="273"/>
      <c r="H14" s="274"/>
    </row>
    <row r="15" spans="1:11" ht="82.15" customHeight="1">
      <c r="A15" s="271"/>
      <c r="B15" s="406" t="str">
        <f>IF(C9="","",VLOOKUP(BU295,BV257:BW262,2,0))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5" s="407"/>
      <c r="D15" s="407"/>
      <c r="E15" s="407"/>
      <c r="F15" s="408"/>
      <c r="G15" s="273"/>
      <c r="H15" s="274"/>
    </row>
    <row r="16" spans="1:11">
      <c r="A16" s="271"/>
      <c r="B16" s="277"/>
      <c r="C16" s="277"/>
      <c r="D16" s="277"/>
      <c r="E16" s="283"/>
      <c r="F16" s="277"/>
      <c r="G16" s="273"/>
      <c r="H16" s="274"/>
    </row>
    <row r="17" spans="1:48">
      <c r="A17" s="271"/>
      <c r="B17" s="277" t="s">
        <v>237</v>
      </c>
      <c r="C17" s="277"/>
      <c r="D17" s="277"/>
      <c r="E17" s="283"/>
      <c r="F17" s="277"/>
      <c r="G17" s="273"/>
      <c r="H17" s="274"/>
    </row>
    <row r="18" spans="1:48">
      <c r="A18" s="271"/>
      <c r="B18" s="277"/>
      <c r="C18" s="277"/>
      <c r="D18" s="277"/>
      <c r="E18" s="283"/>
      <c r="F18" s="277"/>
      <c r="G18" s="273"/>
      <c r="H18" s="274"/>
    </row>
    <row r="19" spans="1:48">
      <c r="A19" s="271"/>
      <c r="B19" s="277" t="s">
        <v>238</v>
      </c>
      <c r="C19" s="277"/>
      <c r="D19" s="415">
        <v>3.6499999999999998E-2</v>
      </c>
      <c r="E19" s="415"/>
      <c r="F19" s="415"/>
      <c r="G19" s="273"/>
      <c r="H19" s="274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</row>
    <row r="20" spans="1:48">
      <c r="A20" s="271"/>
      <c r="B20" s="277"/>
      <c r="C20" s="277"/>
      <c r="D20" s="277"/>
      <c r="E20" s="284"/>
      <c r="F20" s="284"/>
      <c r="G20" s="273"/>
      <c r="H20" s="274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</row>
    <row r="21" spans="1:48" ht="24.75" customHeight="1">
      <c r="A21" s="271"/>
      <c r="B21" s="277" t="s">
        <v>239</v>
      </c>
      <c r="C21" s="277"/>
      <c r="D21" s="417" t="s">
        <v>240</v>
      </c>
      <c r="E21" s="417"/>
      <c r="F21" s="417"/>
      <c r="G21" s="273"/>
      <c r="H21" s="274"/>
      <c r="K21" s="285"/>
    </row>
    <row r="22" spans="1:48">
      <c r="A22" s="271"/>
      <c r="B22" s="286">
        <v>0.05</v>
      </c>
      <c r="C22" s="287"/>
      <c r="D22" s="415">
        <v>0.65990000000000004</v>
      </c>
      <c r="E22" s="415"/>
      <c r="F22" s="415"/>
      <c r="G22" s="273"/>
      <c r="H22" s="274"/>
      <c r="K22" s="285"/>
    </row>
    <row r="23" spans="1:48">
      <c r="A23" s="271"/>
      <c r="B23" s="279"/>
      <c r="C23" s="277"/>
      <c r="D23" s="277"/>
      <c r="E23" s="277"/>
      <c r="F23" s="277"/>
      <c r="G23" s="273"/>
      <c r="H23" s="274"/>
      <c r="K23" s="285"/>
    </row>
    <row r="24" spans="1:48">
      <c r="A24" s="271"/>
      <c r="B24" s="277" t="s">
        <v>241</v>
      </c>
      <c r="C24" s="288">
        <f>+B22*D22</f>
        <v>3.2995000000000003E-2</v>
      </c>
      <c r="D24" s="289"/>
      <c r="E24" s="290"/>
      <c r="F24" s="279"/>
      <c r="G24" s="273"/>
      <c r="H24" s="274"/>
      <c r="K24" s="285"/>
    </row>
    <row r="25" spans="1:48">
      <c r="A25" s="271"/>
      <c r="B25" s="279"/>
      <c r="C25" s="288"/>
      <c r="D25" s="279"/>
      <c r="E25" s="279"/>
      <c r="F25" s="279"/>
      <c r="G25" s="273"/>
      <c r="H25" s="274"/>
      <c r="K25" s="285"/>
    </row>
    <row r="26" spans="1:48" ht="15.75">
      <c r="A26" s="271"/>
      <c r="B26" s="279"/>
      <c r="C26" s="279"/>
      <c r="D26" s="418" t="s">
        <v>242</v>
      </c>
      <c r="E26" s="418"/>
      <c r="F26" s="291">
        <f>D19+C24</f>
        <v>6.9495000000000001E-2</v>
      </c>
      <c r="G26" s="273"/>
      <c r="H26" s="274"/>
      <c r="K26" s="285"/>
    </row>
    <row r="27" spans="1:48">
      <c r="A27" s="271"/>
      <c r="B27" s="279"/>
      <c r="C27" s="288"/>
      <c r="D27" s="279"/>
      <c r="E27" s="279"/>
      <c r="F27" s="279"/>
      <c r="G27" s="273"/>
      <c r="H27" s="274"/>
      <c r="K27" s="285"/>
    </row>
    <row r="28" spans="1:48">
      <c r="A28" s="271"/>
      <c r="B28" s="419" t="s">
        <v>243</v>
      </c>
      <c r="C28" s="419"/>
      <c r="D28" s="419"/>
      <c r="E28" s="419"/>
      <c r="F28" s="419"/>
      <c r="G28" s="273"/>
      <c r="H28" s="274"/>
      <c r="K28" s="285"/>
      <c r="M28" s="292"/>
    </row>
    <row r="29" spans="1:48" ht="13.5" thickBot="1">
      <c r="A29" s="271"/>
      <c r="B29" s="279"/>
      <c r="C29" s="279"/>
      <c r="D29" s="279"/>
      <c r="E29" s="279"/>
      <c r="F29" s="279"/>
      <c r="G29" s="273"/>
      <c r="K29" s="285"/>
    </row>
    <row r="30" spans="1:48">
      <c r="A30" s="275"/>
      <c r="B30" s="295"/>
      <c r="C30" s="295"/>
      <c r="D30" s="295"/>
      <c r="E30" s="295"/>
      <c r="F30" s="295"/>
      <c r="G30" s="276"/>
      <c r="K30" s="285"/>
    </row>
    <row r="31" spans="1:48">
      <c r="A31" s="271"/>
      <c r="B31" s="418" t="s">
        <v>244</v>
      </c>
      <c r="C31" s="418"/>
      <c r="D31" s="418"/>
      <c r="E31" s="418"/>
      <c r="F31" s="418"/>
      <c r="G31" s="273"/>
      <c r="H31" s="274"/>
      <c r="K31" s="285"/>
    </row>
    <row r="32" spans="1:48">
      <c r="A32" s="271"/>
      <c r="B32" s="418"/>
      <c r="C32" s="418"/>
      <c r="D32" s="418"/>
      <c r="E32" s="418"/>
      <c r="F32" s="418"/>
      <c r="G32" s="273"/>
      <c r="H32" s="274"/>
      <c r="K32" s="285"/>
    </row>
    <row r="33" spans="1:11">
      <c r="A33" s="271"/>
      <c r="B33" s="296" t="s">
        <v>245</v>
      </c>
      <c r="C33" s="296" t="s">
        <v>246</v>
      </c>
      <c r="D33" s="296" t="s">
        <v>247</v>
      </c>
      <c r="E33" s="296" t="s">
        <v>248</v>
      </c>
      <c r="F33" s="296" t="s">
        <v>249</v>
      </c>
      <c r="G33" s="273"/>
      <c r="H33" s="274"/>
      <c r="I33" s="297" t="s">
        <v>250</v>
      </c>
      <c r="K33" s="285"/>
    </row>
    <row r="34" spans="1:11">
      <c r="A34" s="271"/>
      <c r="B34" s="298" t="s">
        <v>251</v>
      </c>
      <c r="C34" s="299">
        <f t="shared" ref="C34:E38" si="0">BV296</f>
        <v>5.2900000000000003E-2</v>
      </c>
      <c r="D34" s="299">
        <f>BW296</f>
        <v>5.9200000000000003E-2</v>
      </c>
      <c r="E34" s="299">
        <f>BX296</f>
        <v>7.9299999999999995E-2</v>
      </c>
      <c r="F34" s="300">
        <v>5.2900000000000003E-2</v>
      </c>
      <c r="G34" s="301"/>
      <c r="H34" s="302"/>
      <c r="I34" s="303">
        <f>TRUNC(F34,4)</f>
        <v>5.2900000000000003E-2</v>
      </c>
      <c r="K34" s="281" t="str">
        <f>IF(F34&lt;&gt;"",IF(OR(F34&gt;E34,F34&lt;C34),"CORRIGIR % ADOTADO",""),"")</f>
        <v/>
      </c>
    </row>
    <row r="35" spans="1:11">
      <c r="A35" s="271"/>
      <c r="B35" s="298" t="s">
        <v>252</v>
      </c>
      <c r="C35" s="299">
        <f t="shared" si="0"/>
        <v>2.5000000000000001E-3</v>
      </c>
      <c r="D35" s="299">
        <f t="shared" si="0"/>
        <v>5.1000000000000004E-3</v>
      </c>
      <c r="E35" s="299">
        <f t="shared" si="0"/>
        <v>5.5999999999999999E-3</v>
      </c>
      <c r="F35" s="304">
        <v>2.5000000000000001E-3</v>
      </c>
      <c r="G35" s="301"/>
      <c r="H35" s="302"/>
      <c r="I35" s="303">
        <f>TRUNC(F35,4)</f>
        <v>2.5000000000000001E-3</v>
      </c>
      <c r="K35" s="281" t="str">
        <f>IF(F35&lt;&gt;"",IF(OR(F35&gt;E35,F35&lt;C35),"CORRIGIR % ADOTADO",""),"")</f>
        <v/>
      </c>
    </row>
    <row r="36" spans="1:11">
      <c r="A36" s="271"/>
      <c r="B36" s="298" t="s">
        <v>37</v>
      </c>
      <c r="C36" s="299">
        <f t="shared" si="0"/>
        <v>0.01</v>
      </c>
      <c r="D36" s="299">
        <f t="shared" si="0"/>
        <v>1.4800000000000001E-2</v>
      </c>
      <c r="E36" s="299">
        <f t="shared" si="0"/>
        <v>1.9699999999999999E-2</v>
      </c>
      <c r="F36" s="304">
        <v>0.01</v>
      </c>
      <c r="G36" s="301"/>
      <c r="H36" s="302"/>
      <c r="I36" s="303">
        <f>TRUNC(F36,4)</f>
        <v>0.01</v>
      </c>
      <c r="K36" s="281" t="str">
        <f>IF(F36&lt;&gt;"",IF(OR(F36&gt;E36,F36&lt;C36),"CORRIGIR % ADOTADO",""),"")</f>
        <v/>
      </c>
    </row>
    <row r="37" spans="1:11">
      <c r="A37" s="271"/>
      <c r="B37" s="298" t="s">
        <v>253</v>
      </c>
      <c r="C37" s="299">
        <f t="shared" si="0"/>
        <v>1.01E-2</v>
      </c>
      <c r="D37" s="299">
        <f t="shared" si="0"/>
        <v>1.0699999999999999E-2</v>
      </c>
      <c r="E37" s="299">
        <f t="shared" si="0"/>
        <v>1.11E-2</v>
      </c>
      <c r="F37" s="304">
        <v>1.01E-2</v>
      </c>
      <c r="G37" s="301"/>
      <c r="H37" s="302"/>
      <c r="I37" s="303">
        <f>TRUNC(F37,4)</f>
        <v>1.01E-2</v>
      </c>
      <c r="K37" s="281" t="str">
        <f>IF(F37&lt;&gt;"",IF(OR(F37&gt;E37,F37&lt;C37),"CORRIGIR % ADOTADO",""),"")</f>
        <v/>
      </c>
    </row>
    <row r="38" spans="1:11">
      <c r="A38" s="271"/>
      <c r="B38" s="298" t="s">
        <v>254</v>
      </c>
      <c r="C38" s="299">
        <f t="shared" si="0"/>
        <v>0.08</v>
      </c>
      <c r="D38" s="299">
        <f t="shared" si="0"/>
        <v>8.3099999999999993E-2</v>
      </c>
      <c r="E38" s="299">
        <f t="shared" si="0"/>
        <v>9.5100000000000004E-2</v>
      </c>
      <c r="F38" s="305">
        <v>0.08</v>
      </c>
      <c r="G38" s="301"/>
      <c r="H38" s="302"/>
      <c r="I38" s="303">
        <f>TRUNC(F38,4)</f>
        <v>0.08</v>
      </c>
      <c r="K38" s="281" t="str">
        <f>IF(F38&lt;&gt;"",IF(OR(F38&gt;E38,F38&lt;C38),"CORRIGIR % ADOTADO",""),"")</f>
        <v/>
      </c>
    </row>
    <row r="39" spans="1:11">
      <c r="A39" s="271"/>
      <c r="B39" s="298"/>
      <c r="C39" s="299"/>
      <c r="D39" s="299"/>
      <c r="E39" s="299"/>
      <c r="F39" s="279"/>
      <c r="G39" s="301"/>
      <c r="H39" s="302"/>
    </row>
    <row r="40" spans="1:11">
      <c r="A40" s="271"/>
      <c r="B40" s="306" t="s">
        <v>255</v>
      </c>
      <c r="C40" s="299"/>
      <c r="D40" s="299"/>
      <c r="E40" s="299"/>
      <c r="F40" s="307">
        <f>F26</f>
        <v>6.9495000000000001E-2</v>
      </c>
      <c r="G40" s="301"/>
      <c r="H40" s="302"/>
      <c r="I40" s="308">
        <f>TRUNC(F40,5)</f>
        <v>6.9489999999999996E-2</v>
      </c>
    </row>
    <row r="41" spans="1:11">
      <c r="A41" s="271"/>
      <c r="B41" s="279"/>
      <c r="C41" s="279"/>
      <c r="D41" s="279"/>
      <c r="E41" s="279"/>
      <c r="F41" s="279"/>
      <c r="G41" s="301"/>
      <c r="H41" s="302"/>
    </row>
    <row r="42" spans="1:11">
      <c r="A42" s="271"/>
      <c r="B42" s="279"/>
      <c r="C42" s="279"/>
      <c r="D42" s="279"/>
      <c r="E42" s="279"/>
      <c r="F42" s="279"/>
      <c r="G42" s="273"/>
      <c r="H42" s="302"/>
    </row>
    <row r="43" spans="1:11">
      <c r="A43" s="271"/>
      <c r="B43" s="279"/>
      <c r="C43" s="279"/>
      <c r="D43" s="279"/>
      <c r="E43" s="279"/>
      <c r="F43" s="279"/>
      <c r="G43" s="273"/>
      <c r="H43" s="274"/>
    </row>
    <row r="44" spans="1:11">
      <c r="A44" s="271"/>
      <c r="B44" s="279"/>
      <c r="C44" s="279"/>
      <c r="D44" s="279"/>
      <c r="E44" s="279"/>
      <c r="F44" s="279"/>
      <c r="G44" s="273"/>
      <c r="H44" s="274"/>
    </row>
    <row r="45" spans="1:11">
      <c r="A45" s="271"/>
      <c r="B45" s="279"/>
      <c r="C45" s="279"/>
      <c r="D45" s="279"/>
      <c r="E45" s="279"/>
      <c r="F45" s="279"/>
      <c r="G45" s="273"/>
      <c r="H45" s="274"/>
    </row>
    <row r="46" spans="1:11" ht="16.5" thickBot="1">
      <c r="A46" s="271"/>
      <c r="B46" s="309" t="s">
        <v>256</v>
      </c>
      <c r="C46" s="279"/>
      <c r="D46" s="279"/>
      <c r="E46" s="420">
        <f>ROUND((((1+I34+I35+I36)*(1+I37)*(1+I38))/(1-I40))-1,4)</f>
        <v>0.249</v>
      </c>
      <c r="F46" s="420"/>
      <c r="G46" s="273"/>
      <c r="H46" s="274"/>
      <c r="K46" s="310" t="str">
        <f>IF(F11="SIM","PARA SIMPLES CONFERÊNCIA","")</f>
        <v/>
      </c>
    </row>
    <row r="47" spans="1:11" ht="21.75" thickTop="1" thickBot="1">
      <c r="A47" s="271"/>
      <c r="B47" s="421" t="str">
        <f>IF(E46&lt;C50,"ERRO - BDI INFERIOR AO 1º QUARTIL",IF(E46&gt;E50,"ERRO - BDI SUPERIOR AO 3º QUARTIL","BDI CONFORME"))</f>
        <v>BDI CONFORME</v>
      </c>
      <c r="C47" s="422"/>
      <c r="D47" s="422"/>
      <c r="E47" s="422"/>
      <c r="F47" s="423"/>
      <c r="G47" s="273"/>
      <c r="H47" s="274"/>
    </row>
    <row r="48" spans="1:11" ht="18.75" thickTop="1">
      <c r="A48" s="271"/>
      <c r="B48" s="311"/>
      <c r="C48" s="311"/>
      <c r="D48" s="311"/>
      <c r="E48" s="311"/>
      <c r="F48" s="311"/>
      <c r="G48" s="273"/>
      <c r="H48" s="274"/>
    </row>
    <row r="49" spans="1:48">
      <c r="A49" s="271"/>
      <c r="B49" s="279"/>
      <c r="C49" s="312" t="s">
        <v>246</v>
      </c>
      <c r="D49" s="312" t="s">
        <v>247</v>
      </c>
      <c r="E49" s="312" t="s">
        <v>248</v>
      </c>
      <c r="F49" s="279"/>
      <c r="G49" s="273"/>
      <c r="H49" s="274"/>
    </row>
    <row r="50" spans="1:48">
      <c r="A50" s="271"/>
      <c r="B50" s="313" t="s">
        <v>257</v>
      </c>
      <c r="C50" s="314">
        <f>BV295</f>
        <v>0.24</v>
      </c>
      <c r="D50" s="314">
        <f>BW295</f>
        <v>0.25840000000000002</v>
      </c>
      <c r="E50" s="314">
        <f>BX295</f>
        <v>0.27860000000000001</v>
      </c>
      <c r="F50" s="279"/>
      <c r="G50" s="273"/>
      <c r="H50" s="274"/>
    </row>
    <row r="51" spans="1:48" hidden="1">
      <c r="A51" s="271"/>
      <c r="B51" s="313"/>
      <c r="C51" s="314"/>
      <c r="D51" s="314"/>
      <c r="E51" s="314"/>
      <c r="F51" s="279"/>
      <c r="G51" s="273"/>
      <c r="H51" s="274"/>
    </row>
    <row r="52" spans="1:48" hidden="1">
      <c r="A52" s="271"/>
      <c r="B52" s="418" t="s">
        <v>258</v>
      </c>
      <c r="C52" s="418"/>
      <c r="D52" s="418"/>
      <c r="E52" s="418"/>
      <c r="F52" s="418"/>
      <c r="G52" s="273"/>
      <c r="H52" s="274"/>
    </row>
    <row r="53" spans="1:48" ht="13.5" hidden="1" thickBot="1">
      <c r="A53" s="271"/>
      <c r="B53" s="315"/>
      <c r="C53" s="315"/>
      <c r="D53" s="315"/>
      <c r="E53" s="315"/>
      <c r="F53" s="315"/>
      <c r="G53" s="273"/>
      <c r="H53" s="274"/>
    </row>
    <row r="54" spans="1:48" ht="17.25" hidden="1" thickTop="1" thickBot="1">
      <c r="A54" s="271"/>
      <c r="B54" s="424" t="s">
        <v>259</v>
      </c>
      <c r="C54" s="424"/>
      <c r="D54" s="424"/>
      <c r="E54" s="425">
        <f>ROUND((((1+I34+I35+I36)*(1+I37)*(1+I38))/(1-I56))-1,4)</f>
        <v>0.3125</v>
      </c>
      <c r="F54" s="426"/>
      <c r="G54" s="273"/>
      <c r="H54" s="274"/>
      <c r="K54" s="316" t="str">
        <f>IF(F11="SIM","UTILIZAR BDI C/ DESONERAÇÃO","")</f>
        <v/>
      </c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</row>
    <row r="55" spans="1:48" ht="13.5" hidden="1" thickTop="1">
      <c r="A55" s="271"/>
      <c r="B55" s="313"/>
      <c r="C55" s="314"/>
      <c r="D55" s="314"/>
      <c r="E55" s="314"/>
      <c r="F55" s="279"/>
      <c r="G55" s="273"/>
      <c r="H55" s="274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</row>
    <row r="56" spans="1:48" ht="26.25" hidden="1">
      <c r="A56" s="271"/>
      <c r="B56" s="318" t="s">
        <v>260</v>
      </c>
      <c r="C56" s="288">
        <v>4.4999999999999998E-2</v>
      </c>
      <c r="D56" s="418" t="s">
        <v>242</v>
      </c>
      <c r="E56" s="418"/>
      <c r="F56" s="291">
        <f>+F26+C56</f>
        <v>0.114495</v>
      </c>
      <c r="G56" s="273"/>
      <c r="H56" s="274"/>
      <c r="I56" s="308">
        <f>TRUNC(F56,5)</f>
        <v>0.11448999999999999</v>
      </c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</row>
    <row r="57" spans="1:48" ht="13.5" hidden="1" thickBot="1">
      <c r="A57" s="293"/>
      <c r="B57" s="319"/>
      <c r="C57" s="320"/>
      <c r="D57" s="320"/>
      <c r="E57" s="320"/>
      <c r="F57" s="321"/>
      <c r="G57" s="294"/>
      <c r="H57" s="274"/>
    </row>
    <row r="61" spans="1:48">
      <c r="I61" s="322"/>
      <c r="J61" s="322"/>
      <c r="K61" s="322"/>
    </row>
    <row r="62" spans="1:48">
      <c r="I62" s="323"/>
    </row>
    <row r="63" spans="1:48">
      <c r="I63" s="324"/>
    </row>
    <row r="64" spans="1:48">
      <c r="I64" s="324"/>
    </row>
    <row r="65" spans="9:9">
      <c r="I65" s="325"/>
    </row>
    <row r="66" spans="9:9">
      <c r="I66" s="324"/>
    </row>
    <row r="67" spans="9:9">
      <c r="I67" s="324"/>
    </row>
    <row r="68" spans="9:9">
      <c r="I68" s="324"/>
    </row>
    <row r="69" spans="9:9">
      <c r="I69" s="324"/>
    </row>
    <row r="70" spans="9:9">
      <c r="I70" s="324"/>
    </row>
    <row r="73" spans="9:9">
      <c r="I73" s="322"/>
    </row>
    <row r="74" spans="9:9">
      <c r="I74" s="292"/>
    </row>
    <row r="75" spans="9:9">
      <c r="I75" s="292"/>
    </row>
    <row r="76" spans="9:9">
      <c r="I76" s="292"/>
    </row>
    <row r="77" spans="9:9">
      <c r="I77" s="292"/>
    </row>
    <row r="78" spans="9:9">
      <c r="I78" s="292"/>
    </row>
    <row r="79" spans="9:9">
      <c r="I79" s="292"/>
    </row>
    <row r="80" spans="9:9">
      <c r="I80" s="292"/>
    </row>
    <row r="81" spans="9:15">
      <c r="I81" s="292"/>
    </row>
    <row r="82" spans="9:15">
      <c r="I82" s="292"/>
    </row>
    <row r="83" spans="9:15">
      <c r="I83" s="326"/>
    </row>
    <row r="84" spans="9:15">
      <c r="I84" s="326"/>
    </row>
    <row r="85" spans="9:15">
      <c r="I85" s="326"/>
    </row>
    <row r="89" spans="9:15">
      <c r="N89" s="292"/>
      <c r="O89" s="303"/>
    </row>
    <row r="90" spans="9:15">
      <c r="N90" s="292"/>
      <c r="O90" s="303"/>
    </row>
    <row r="91" spans="9:15">
      <c r="N91" s="292"/>
      <c r="O91" s="303"/>
    </row>
    <row r="92" spans="9:15">
      <c r="N92" s="292"/>
      <c r="O92" s="303"/>
    </row>
    <row r="93" spans="9:15">
      <c r="N93" s="292"/>
      <c r="O93" s="303"/>
    </row>
    <row r="94" spans="9:15">
      <c r="N94" s="292"/>
      <c r="O94" s="303"/>
    </row>
    <row r="95" spans="9:15">
      <c r="N95" s="292"/>
      <c r="O95" s="303"/>
    </row>
    <row r="96" spans="9:15">
      <c r="N96" s="292"/>
      <c r="O96" s="303"/>
    </row>
    <row r="97" spans="14:15">
      <c r="N97" s="292"/>
      <c r="O97" s="303"/>
    </row>
    <row r="98" spans="14:15">
      <c r="N98" s="292"/>
      <c r="O98" s="303"/>
    </row>
    <row r="99" spans="14:15">
      <c r="N99" s="292"/>
      <c r="O99" s="303"/>
    </row>
    <row r="100" spans="14:15">
      <c r="N100" s="292"/>
    </row>
    <row r="101" spans="14:15">
      <c r="N101" s="292"/>
    </row>
    <row r="102" spans="14:15">
      <c r="N102" s="292"/>
    </row>
    <row r="103" spans="14:15">
      <c r="N103" s="292"/>
    </row>
    <row r="254" spans="72:76" ht="13.5" thickBot="1"/>
    <row r="255" spans="72:76">
      <c r="BT255" s="427" t="s">
        <v>261</v>
      </c>
      <c r="BU255" s="428"/>
      <c r="BV255" s="428"/>
      <c r="BW255" s="428"/>
      <c r="BX255" s="429"/>
    </row>
    <row r="256" spans="72:76">
      <c r="BT256" s="327"/>
      <c r="BU256" s="274" t="s">
        <v>262</v>
      </c>
      <c r="BV256" s="274" t="s">
        <v>263</v>
      </c>
      <c r="BW256" s="274" t="s">
        <v>264</v>
      </c>
      <c r="BX256" s="328"/>
    </row>
    <row r="257" spans="72:87">
      <c r="BT257" s="329">
        <v>100</v>
      </c>
      <c r="BU257" s="330" t="s">
        <v>265</v>
      </c>
      <c r="BV257" s="331">
        <f t="shared" ref="BV257:BV262" si="1">+BT257</f>
        <v>100</v>
      </c>
      <c r="BW257" s="332" t="s">
        <v>266</v>
      </c>
      <c r="BX257" s="328"/>
    </row>
    <row r="258" spans="72:87">
      <c r="BT258" s="329">
        <v>200</v>
      </c>
      <c r="BU258" s="330" t="s">
        <v>267</v>
      </c>
      <c r="BV258" s="331">
        <f t="shared" si="1"/>
        <v>200</v>
      </c>
      <c r="BW258" s="332" t="s">
        <v>268</v>
      </c>
      <c r="BX258" s="328"/>
    </row>
    <row r="259" spans="72:87" ht="57">
      <c r="BT259" s="329">
        <v>300</v>
      </c>
      <c r="BU259" s="333" t="s">
        <v>269</v>
      </c>
      <c r="BV259" s="331">
        <f t="shared" si="1"/>
        <v>300</v>
      </c>
      <c r="BW259" s="332" t="s">
        <v>270</v>
      </c>
      <c r="BX259" s="328"/>
    </row>
    <row r="260" spans="72:87" ht="57">
      <c r="BT260" s="329">
        <v>400</v>
      </c>
      <c r="BU260" s="333" t="s">
        <v>232</v>
      </c>
      <c r="BV260" s="331">
        <f t="shared" si="1"/>
        <v>400</v>
      </c>
      <c r="BW260" s="332" t="s">
        <v>271</v>
      </c>
      <c r="BX260" s="328"/>
    </row>
    <row r="261" spans="72:87">
      <c r="BT261" s="329">
        <v>500</v>
      </c>
      <c r="BU261" s="330" t="s">
        <v>272</v>
      </c>
      <c r="BV261" s="331">
        <f t="shared" si="1"/>
        <v>500</v>
      </c>
      <c r="BW261" s="332" t="s">
        <v>273</v>
      </c>
      <c r="BX261" s="328"/>
    </row>
    <row r="262" spans="72:87" ht="25.5">
      <c r="BT262" s="329">
        <v>600</v>
      </c>
      <c r="BU262" s="330" t="s">
        <v>274</v>
      </c>
      <c r="BV262" s="331">
        <f t="shared" si="1"/>
        <v>600</v>
      </c>
      <c r="BW262" s="332" t="s">
        <v>275</v>
      </c>
      <c r="BX262" s="328"/>
    </row>
    <row r="263" spans="72:87">
      <c r="BT263" s="329"/>
      <c r="BU263" s="331"/>
      <c r="BV263" s="331"/>
      <c r="BW263" s="332"/>
      <c r="BX263" s="328"/>
    </row>
    <row r="264" spans="72:87">
      <c r="BT264" s="334"/>
      <c r="BU264" s="332"/>
      <c r="BV264" s="332"/>
      <c r="BW264" s="332"/>
      <c r="BX264" s="328"/>
    </row>
    <row r="265" spans="72:87">
      <c r="BT265" s="334"/>
      <c r="BU265" s="332"/>
      <c r="BV265" s="332"/>
      <c r="BW265" s="332"/>
      <c r="BX265" s="328"/>
      <c r="CF265" s="265" t="s">
        <v>38</v>
      </c>
      <c r="CG265" s="265" t="s">
        <v>276</v>
      </c>
      <c r="CH265" s="265" t="s">
        <v>277</v>
      </c>
    </row>
    <row r="266" spans="72:87">
      <c r="BT266" s="327"/>
      <c r="BU266" s="274"/>
      <c r="BV266" s="274"/>
      <c r="BW266" s="274"/>
      <c r="BX266" s="328"/>
      <c r="CE266" s="265" t="s">
        <v>278</v>
      </c>
      <c r="CF266" s="303">
        <v>6.4999999999999997E-3</v>
      </c>
      <c r="CG266" s="335">
        <v>0.03</v>
      </c>
      <c r="CH266" s="265" t="s">
        <v>279</v>
      </c>
      <c r="CI266" s="303" t="e">
        <f>(#REF!+#REF!)+C24</f>
        <v>#REF!</v>
      </c>
    </row>
    <row r="267" spans="72:87">
      <c r="BT267" s="327"/>
      <c r="BU267" s="274"/>
      <c r="BV267" s="274"/>
      <c r="BW267" s="274"/>
      <c r="BX267" s="328"/>
      <c r="CF267" s="303">
        <v>1.6500000000000001E-2</v>
      </c>
      <c r="CG267" s="303">
        <v>7.5999999999999998E-2</v>
      </c>
      <c r="CH267" s="265" t="s">
        <v>280</v>
      </c>
      <c r="CI267" s="303" t="e">
        <f>(#REF!+#REF!)*#REF!+C24</f>
        <v>#REF!</v>
      </c>
    </row>
    <row r="268" spans="72:87">
      <c r="BT268" s="327"/>
      <c r="BU268" s="274"/>
      <c r="BV268" s="274"/>
      <c r="BW268" s="274"/>
      <c r="BX268" s="328"/>
    </row>
    <row r="269" spans="72:87">
      <c r="BT269" s="336"/>
      <c r="BU269" s="337"/>
      <c r="BV269" s="337"/>
      <c r="BW269" s="274"/>
      <c r="BX269" s="328"/>
    </row>
    <row r="270" spans="72:87">
      <c r="BT270" s="327"/>
      <c r="BU270" s="274"/>
      <c r="BV270" s="274"/>
      <c r="BW270" s="274"/>
      <c r="BX270" s="328"/>
    </row>
    <row r="271" spans="72:87" ht="13.5" thickBot="1">
      <c r="BT271" s="327"/>
      <c r="BU271" s="274"/>
      <c r="BV271" s="274"/>
      <c r="BW271" s="274"/>
      <c r="BX271" s="328"/>
      <c r="CD271" s="265">
        <f>BT257</f>
        <v>100</v>
      </c>
      <c r="CE271" s="430" t="str">
        <f>BU257</f>
        <v>Construção de edificios</v>
      </c>
      <c r="CF271" s="430"/>
      <c r="CG271" s="430"/>
      <c r="CH271" s="430"/>
    </row>
    <row r="272" spans="72:87" ht="15" thickBot="1">
      <c r="BT272" s="327"/>
      <c r="BU272" s="274"/>
      <c r="BV272" s="274"/>
      <c r="BW272" s="274"/>
      <c r="BX272" s="328"/>
      <c r="CD272" s="265">
        <f>+CD271+1</f>
        <v>101</v>
      </c>
      <c r="CE272" s="338" t="s">
        <v>251</v>
      </c>
      <c r="CF272" s="339">
        <v>0.03</v>
      </c>
      <c r="CG272" s="339">
        <v>0.04</v>
      </c>
      <c r="CH272" s="339">
        <v>5.5E-2</v>
      </c>
    </row>
    <row r="273" spans="72:86" ht="15" thickBot="1">
      <c r="BT273" s="327"/>
      <c r="BU273" s="274"/>
      <c r="BV273" s="274"/>
      <c r="BW273" s="274"/>
      <c r="BX273" s="328"/>
      <c r="CD273" s="265">
        <f>+CD272+1</f>
        <v>102</v>
      </c>
      <c r="CE273" s="338" t="s">
        <v>252</v>
      </c>
      <c r="CF273" s="339">
        <v>8.0000000000000002E-3</v>
      </c>
      <c r="CG273" s="339">
        <v>8.0000000000000002E-3</v>
      </c>
      <c r="CH273" s="339">
        <v>0.01</v>
      </c>
    </row>
    <row r="274" spans="72:86" ht="15" thickBot="1">
      <c r="BT274" s="327"/>
      <c r="BU274" s="274"/>
      <c r="BV274" s="274"/>
      <c r="BW274" s="274"/>
      <c r="BX274" s="328"/>
      <c r="CD274" s="265">
        <f>+CD273+1</f>
        <v>103</v>
      </c>
      <c r="CE274" s="338" t="s">
        <v>37</v>
      </c>
      <c r="CF274" s="339">
        <v>9.7000000000000003E-3</v>
      </c>
      <c r="CG274" s="339">
        <v>1.2699999999999999E-2</v>
      </c>
      <c r="CH274" s="339">
        <v>1.2699999999999999E-2</v>
      </c>
    </row>
    <row r="275" spans="72:86" ht="15" thickBot="1">
      <c r="BT275" s="336"/>
      <c r="BU275" s="337"/>
      <c r="BV275" s="337"/>
      <c r="BW275" s="274"/>
      <c r="BX275" s="328"/>
      <c r="CD275" s="265">
        <f>+CD274+1</f>
        <v>104</v>
      </c>
      <c r="CE275" s="338" t="s">
        <v>253</v>
      </c>
      <c r="CF275" s="339">
        <v>5.8999999999999999E-3</v>
      </c>
      <c r="CG275" s="339">
        <v>1.23E-2</v>
      </c>
      <c r="CH275" s="339">
        <v>1.3899999999999999E-2</v>
      </c>
    </row>
    <row r="276" spans="72:86" ht="15" thickBot="1">
      <c r="BT276" s="327"/>
      <c r="BU276" s="274"/>
      <c r="BV276" s="274"/>
      <c r="BW276" s="274"/>
      <c r="BX276" s="328"/>
      <c r="CD276" s="265">
        <f>+CD275+1</f>
        <v>105</v>
      </c>
      <c r="CE276" s="338" t="s">
        <v>254</v>
      </c>
      <c r="CF276" s="339">
        <v>6.1600000000000002E-2</v>
      </c>
      <c r="CG276" s="339">
        <v>7.3999999999999996E-2</v>
      </c>
      <c r="CH276" s="339">
        <v>8.9599999999999999E-2</v>
      </c>
    </row>
    <row r="277" spans="72:86">
      <c r="BT277" s="327"/>
      <c r="BU277" s="274"/>
      <c r="BV277" s="274"/>
      <c r="BW277" s="274"/>
      <c r="BX277" s="328"/>
    </row>
    <row r="278" spans="72:86">
      <c r="BT278" s="327"/>
      <c r="BU278" s="274"/>
      <c r="BV278" s="274"/>
      <c r="BW278" s="274"/>
      <c r="BX278" s="328"/>
    </row>
    <row r="279" spans="72:86" ht="13.5" thickBot="1">
      <c r="BT279" s="327"/>
      <c r="BU279" s="274"/>
      <c r="BV279" s="274"/>
      <c r="BW279" s="274"/>
      <c r="BX279" s="328"/>
      <c r="CD279" s="265">
        <f>BT258</f>
        <v>200</v>
      </c>
      <c r="CE279" s="430" t="str">
        <f>BU258</f>
        <v>Construção de rodovias e ferrovias</v>
      </c>
      <c r="CF279" s="430"/>
      <c r="CG279" s="430"/>
      <c r="CH279" s="430"/>
    </row>
    <row r="280" spans="72:86" ht="15" thickBot="1">
      <c r="BT280" s="327"/>
      <c r="BU280" s="274"/>
      <c r="BV280" s="274"/>
      <c r="BW280" s="274"/>
      <c r="BX280" s="328"/>
      <c r="CD280" s="265">
        <f>+CD279+1</f>
        <v>201</v>
      </c>
      <c r="CE280" s="338" t="s">
        <v>251</v>
      </c>
      <c r="CF280" s="339">
        <v>3.7999999999999999E-2</v>
      </c>
      <c r="CG280" s="339">
        <v>4.0099999999999997E-2</v>
      </c>
      <c r="CH280" s="339">
        <v>4.6699999999999998E-2</v>
      </c>
    </row>
    <row r="281" spans="72:86" ht="15" thickBot="1">
      <c r="BT281" s="327"/>
      <c r="BU281" s="274"/>
      <c r="BV281" s="274"/>
      <c r="BW281" s="274"/>
      <c r="BX281" s="328"/>
      <c r="CD281" s="265">
        <f>+CD280+1</f>
        <v>202</v>
      </c>
      <c r="CE281" s="338" t="s">
        <v>252</v>
      </c>
      <c r="CF281" s="339">
        <v>3.2000000000000002E-3</v>
      </c>
      <c r="CG281" s="339">
        <v>4.0000000000000001E-3</v>
      </c>
      <c r="CH281" s="339">
        <v>7.4000000000000003E-3</v>
      </c>
    </row>
    <row r="282" spans="72:86" ht="15" thickBot="1">
      <c r="BT282" s="427"/>
      <c r="BU282" s="428"/>
      <c r="BV282" s="428"/>
      <c r="BW282" s="428"/>
      <c r="BX282" s="429"/>
      <c r="CD282" s="265">
        <f>+CD281+1</f>
        <v>203</v>
      </c>
      <c r="CE282" s="338" t="s">
        <v>37</v>
      </c>
      <c r="CF282" s="339">
        <v>5.0000000000000001E-3</v>
      </c>
      <c r="CG282" s="339">
        <v>5.5999999999999999E-3</v>
      </c>
      <c r="CH282" s="339">
        <v>9.7000000000000003E-3</v>
      </c>
    </row>
    <row r="283" spans="72:86" ht="15" thickBot="1">
      <c r="BT283" s="327"/>
      <c r="BU283" s="274"/>
      <c r="BV283" s="274"/>
      <c r="BW283" s="274"/>
      <c r="BX283" s="328"/>
      <c r="CD283" s="265">
        <f>+CD282+1</f>
        <v>204</v>
      </c>
      <c r="CE283" s="338" t="s">
        <v>253</v>
      </c>
      <c r="CF283" s="339">
        <v>1.0200000000000001E-2</v>
      </c>
      <c r="CG283" s="339">
        <v>1.11E-2</v>
      </c>
      <c r="CH283" s="339">
        <v>1.21E-2</v>
      </c>
    </row>
    <row r="284" spans="72:86" ht="15" thickBot="1">
      <c r="BT284" s="327"/>
      <c r="BU284" s="274"/>
      <c r="BV284" s="274"/>
      <c r="BW284" s="274"/>
      <c r="BX284" s="328"/>
      <c r="CD284" s="265">
        <f>+CD283+1</f>
        <v>205</v>
      </c>
      <c r="CE284" s="338" t="s">
        <v>254</v>
      </c>
      <c r="CF284" s="339">
        <v>6.6400000000000001E-2</v>
      </c>
      <c r="CG284" s="339">
        <v>7.2999999999999995E-2</v>
      </c>
      <c r="CH284" s="339">
        <v>8.6900000000000005E-2</v>
      </c>
    </row>
    <row r="285" spans="72:86">
      <c r="BT285" s="327"/>
      <c r="BU285" s="274"/>
      <c r="BV285" s="274"/>
      <c r="BW285" s="274"/>
      <c r="BX285" s="328"/>
    </row>
    <row r="286" spans="72:86" ht="13.5" thickBot="1">
      <c r="BT286" s="340"/>
      <c r="BU286" s="341"/>
      <c r="BV286" s="341"/>
      <c r="BW286" s="341"/>
      <c r="BX286" s="342"/>
    </row>
    <row r="287" spans="72:86" ht="13.5" thickBot="1">
      <c r="BT287" s="427"/>
      <c r="BU287" s="428"/>
      <c r="BV287" s="428"/>
      <c r="BW287" s="428"/>
      <c r="BX287" s="429"/>
      <c r="CD287" s="265">
        <f>BT259</f>
        <v>300</v>
      </c>
      <c r="CE287" s="430" t="str">
        <f>BU259</f>
        <v>Construção de Redes de Abastecimento de Água, Coleta de Esgoto e Construções Correlatas</v>
      </c>
      <c r="CF287" s="430"/>
      <c r="CG287" s="430"/>
      <c r="CH287" s="430"/>
    </row>
    <row r="288" spans="72:86" ht="15" thickBot="1">
      <c r="BT288" s="431"/>
      <c r="BU288" s="432"/>
      <c r="BV288" s="432"/>
      <c r="BW288" s="432"/>
      <c r="BX288" s="433"/>
      <c r="CD288" s="265">
        <f>+CD287+1</f>
        <v>301</v>
      </c>
      <c r="CE288" s="343" t="s">
        <v>251</v>
      </c>
      <c r="CF288" s="344">
        <v>3.4299999999999997E-2</v>
      </c>
      <c r="CG288" s="344">
        <v>4.9299999999999997E-2</v>
      </c>
      <c r="CH288" s="344">
        <v>6.7100000000000007E-2</v>
      </c>
    </row>
    <row r="289" spans="72:86" ht="15" thickBot="1">
      <c r="BT289" s="431"/>
      <c r="BU289" s="432"/>
      <c r="BV289" s="432"/>
      <c r="BW289" s="432"/>
      <c r="BX289" s="433"/>
      <c r="CD289" s="265">
        <f>+CD288+1</f>
        <v>302</v>
      </c>
      <c r="CE289" s="338" t="s">
        <v>252</v>
      </c>
      <c r="CF289" s="339">
        <v>2.8E-3</v>
      </c>
      <c r="CG289" s="339">
        <v>4.8999999999999998E-3</v>
      </c>
      <c r="CH289" s="339">
        <v>7.4999999999999997E-3</v>
      </c>
    </row>
    <row r="290" spans="72:86" ht="15" thickBot="1">
      <c r="BT290" s="345"/>
      <c r="BU290" s="346"/>
      <c r="BV290" s="347"/>
      <c r="BW290" s="347"/>
      <c r="BX290" s="348"/>
      <c r="CD290" s="265">
        <f>+CD289+1</f>
        <v>303</v>
      </c>
      <c r="CE290" s="338" t="s">
        <v>37</v>
      </c>
      <c r="CF290" s="339">
        <v>0.01</v>
      </c>
      <c r="CG290" s="339">
        <v>1.3899999999999999E-2</v>
      </c>
      <c r="CH290" s="339">
        <v>1.7399999999999999E-2</v>
      </c>
    </row>
    <row r="291" spans="72:86" ht="15" thickBot="1">
      <c r="BT291" s="327"/>
      <c r="BU291" s="274"/>
      <c r="BV291" s="274"/>
      <c r="BW291" s="274"/>
      <c r="BX291" s="328"/>
      <c r="CD291" s="265">
        <f>+CD290+1</f>
        <v>304</v>
      </c>
      <c r="CE291" s="338" t="s">
        <v>253</v>
      </c>
      <c r="CF291" s="339">
        <v>9.4000000000000004E-3</v>
      </c>
      <c r="CG291" s="339">
        <v>9.9000000000000008E-3</v>
      </c>
      <c r="CH291" s="339">
        <v>1.17E-2</v>
      </c>
    </row>
    <row r="292" spans="72:86" ht="15" thickBot="1">
      <c r="BT292" s="340"/>
      <c r="BU292" s="341"/>
      <c r="BV292" s="341"/>
      <c r="BW292" s="341"/>
      <c r="BX292" s="342"/>
      <c r="CD292" s="265">
        <f>+CD291+1</f>
        <v>305</v>
      </c>
      <c r="CE292" s="338" t="s">
        <v>254</v>
      </c>
      <c r="CF292" s="339">
        <v>6.7400000000000002E-2</v>
      </c>
      <c r="CG292" s="339">
        <v>8.0399999999999999E-2</v>
      </c>
      <c r="CH292" s="339">
        <v>9.4E-2</v>
      </c>
    </row>
    <row r="293" spans="72:86">
      <c r="BT293" s="427"/>
      <c r="BU293" s="428"/>
      <c r="BV293" s="428"/>
      <c r="BW293" s="428"/>
      <c r="BX293" s="429"/>
    </row>
    <row r="294" spans="72:86" ht="13.5" thickBot="1">
      <c r="BT294" s="349"/>
      <c r="BU294" s="350" t="s">
        <v>281</v>
      </c>
      <c r="BV294" s="350" t="s">
        <v>282</v>
      </c>
      <c r="BW294" s="350" t="s">
        <v>283</v>
      </c>
      <c r="BX294" s="350" t="s">
        <v>284</v>
      </c>
      <c r="CD294" s="265">
        <f>BT260</f>
        <v>400</v>
      </c>
      <c r="CE294" s="430" t="str">
        <f>BU260</f>
        <v>Construção e Manutenção de Estações e Redes de Distribuição de Energia Elétrica</v>
      </c>
      <c r="CF294" s="430"/>
      <c r="CG294" s="430"/>
      <c r="CH294" s="430"/>
    </row>
    <row r="295" spans="72:86" ht="15" thickBot="1">
      <c r="BT295" s="349" t="s">
        <v>285</v>
      </c>
      <c r="BU295" s="350">
        <f>VLOOKUP(C9,BU257:BV262,2,0)</f>
        <v>400</v>
      </c>
      <c r="BV295" s="351">
        <f>VLOOKUP($BU295,$BT$306:$BX$311,3,0)</f>
        <v>0.24</v>
      </c>
      <c r="BW295" s="351">
        <f>VLOOKUP($BU295,$BT$306:$BX$311,4,0)</f>
        <v>0.25840000000000002</v>
      </c>
      <c r="BX295" s="351">
        <f>VLOOKUP($BU295,$BT$306:$BX$311,5,0)</f>
        <v>0.27860000000000001</v>
      </c>
      <c r="CD295" s="265">
        <f>+CD294+1</f>
        <v>401</v>
      </c>
      <c r="CE295" s="343" t="s">
        <v>251</v>
      </c>
      <c r="CF295" s="344">
        <v>5.2900000000000003E-2</v>
      </c>
      <c r="CG295" s="344">
        <v>5.9200000000000003E-2</v>
      </c>
      <c r="CH295" s="344">
        <v>7.9299999999999995E-2</v>
      </c>
    </row>
    <row r="296" spans="72:86" ht="15" thickBot="1">
      <c r="BT296" s="352" t="s">
        <v>251</v>
      </c>
      <c r="BU296" s="350">
        <f>+BU295+1</f>
        <v>401</v>
      </c>
      <c r="BV296" s="351">
        <f>VLOOKUP($BU296,$CD$271:$CH$312,3,0)</f>
        <v>5.2900000000000003E-2</v>
      </c>
      <c r="BW296" s="351">
        <f>VLOOKUP($BU296,$CD$271:$CH$312,4,0)</f>
        <v>5.9200000000000003E-2</v>
      </c>
      <c r="BX296" s="351">
        <f>VLOOKUP($BU296,$CD$271:$CH$312,5,0)</f>
        <v>7.9299999999999995E-2</v>
      </c>
      <c r="CD296" s="265">
        <f>+CD295+1</f>
        <v>402</v>
      </c>
      <c r="CE296" s="338" t="s">
        <v>252</v>
      </c>
      <c r="CF296" s="339">
        <v>2.5000000000000001E-3</v>
      </c>
      <c r="CG296" s="339">
        <v>5.1000000000000004E-3</v>
      </c>
      <c r="CH296" s="339">
        <v>5.5999999999999999E-3</v>
      </c>
    </row>
    <row r="297" spans="72:86" ht="15" thickBot="1">
      <c r="BT297" s="352" t="s">
        <v>252</v>
      </c>
      <c r="BU297" s="350">
        <f>+BU296+1</f>
        <v>402</v>
      </c>
      <c r="BV297" s="351">
        <f>VLOOKUP($BU297,$CD$271:$CH$312,3,0)</f>
        <v>2.5000000000000001E-3</v>
      </c>
      <c r="BW297" s="351">
        <f>VLOOKUP($BU297,$CD$271:$CH$312,4,0)</f>
        <v>5.1000000000000004E-3</v>
      </c>
      <c r="BX297" s="351">
        <f>VLOOKUP($BU297,$CD$271:$CH$312,5,0)</f>
        <v>5.5999999999999999E-3</v>
      </c>
      <c r="CD297" s="265">
        <f>+CD296+1</f>
        <v>403</v>
      </c>
      <c r="CE297" s="338" t="s">
        <v>37</v>
      </c>
      <c r="CF297" s="339">
        <v>0.01</v>
      </c>
      <c r="CG297" s="339">
        <v>1.4800000000000001E-2</v>
      </c>
      <c r="CH297" s="339">
        <v>1.9699999999999999E-2</v>
      </c>
    </row>
    <row r="298" spans="72:86" ht="15" thickBot="1">
      <c r="BT298" s="352" t="s">
        <v>37</v>
      </c>
      <c r="BU298" s="350">
        <f>+BU297+1</f>
        <v>403</v>
      </c>
      <c r="BV298" s="351">
        <f>VLOOKUP($BU298,$CD$271:$CH$312,3,0)</f>
        <v>0.01</v>
      </c>
      <c r="BW298" s="351">
        <f>VLOOKUP($BU298,$CD$271:$CH$312,4,0)</f>
        <v>1.4800000000000001E-2</v>
      </c>
      <c r="BX298" s="351">
        <f>VLOOKUP($BU298,$CD$271:$CH$312,5,0)</f>
        <v>1.9699999999999999E-2</v>
      </c>
      <c r="CD298" s="265">
        <f>+CD297+1</f>
        <v>404</v>
      </c>
      <c r="CE298" s="338" t="s">
        <v>253</v>
      </c>
      <c r="CF298" s="339">
        <v>1.01E-2</v>
      </c>
      <c r="CG298" s="339">
        <v>1.0699999999999999E-2</v>
      </c>
      <c r="CH298" s="339">
        <v>1.11E-2</v>
      </c>
    </row>
    <row r="299" spans="72:86" ht="15" thickBot="1">
      <c r="BT299" s="352" t="s">
        <v>253</v>
      </c>
      <c r="BU299" s="350">
        <f>+BU298+1</f>
        <v>404</v>
      </c>
      <c r="BV299" s="351">
        <f>VLOOKUP($BU299,$CD$271:$CH$312,3,0)</f>
        <v>1.01E-2</v>
      </c>
      <c r="BW299" s="351">
        <f>VLOOKUP($BU299,$CD$271:$CH$312,4,0)</f>
        <v>1.0699999999999999E-2</v>
      </c>
      <c r="BX299" s="351">
        <f>VLOOKUP($BU299,$CD$271:$CH$312,5,0)</f>
        <v>1.11E-2</v>
      </c>
      <c r="CD299" s="265">
        <f>+CD298+1</f>
        <v>405</v>
      </c>
      <c r="CE299" s="338" t="s">
        <v>254</v>
      </c>
      <c r="CF299" s="339">
        <v>0.08</v>
      </c>
      <c r="CG299" s="339">
        <v>8.3099999999999993E-2</v>
      </c>
      <c r="CH299" s="339">
        <v>9.5100000000000004E-2</v>
      </c>
    </row>
    <row r="300" spans="72:86" ht="15" thickBot="1">
      <c r="BT300" s="352" t="s">
        <v>254</v>
      </c>
      <c r="BU300" s="350">
        <f>+BU299+1</f>
        <v>405</v>
      </c>
      <c r="BV300" s="351">
        <f>VLOOKUP($BU300,$CD$271:$CH$312,3,0)</f>
        <v>0.08</v>
      </c>
      <c r="BW300" s="351">
        <f>VLOOKUP($BU300,$CD$271:$CH$312,4,0)</f>
        <v>8.3099999999999993E-2</v>
      </c>
      <c r="BX300" s="351">
        <f>VLOOKUP($BU300,$CD$271:$CH$312,5,0)</f>
        <v>9.5100000000000004E-2</v>
      </c>
      <c r="CD300" s="265">
        <f>BT261</f>
        <v>500</v>
      </c>
      <c r="CE300" s="430" t="str">
        <f>BU261</f>
        <v>Portuárias, Marítimas e Fluviais</v>
      </c>
      <c r="CF300" s="430"/>
      <c r="CG300" s="430"/>
      <c r="CH300" s="430"/>
    </row>
    <row r="301" spans="72:86" ht="15" thickBot="1">
      <c r="BT301" s="327"/>
      <c r="BU301" s="274"/>
      <c r="BV301" s="274"/>
      <c r="BW301" s="274"/>
      <c r="BX301" s="328"/>
      <c r="CD301" s="265">
        <f>+CD300+1</f>
        <v>501</v>
      </c>
      <c r="CE301" s="343" t="s">
        <v>251</v>
      </c>
      <c r="CF301" s="344">
        <v>0.04</v>
      </c>
      <c r="CG301" s="344">
        <v>5.5199999999999999E-2</v>
      </c>
      <c r="CH301" s="344">
        <v>7.85E-2</v>
      </c>
    </row>
    <row r="302" spans="72:86" ht="15" thickBot="1">
      <c r="CD302" s="265">
        <f>+CD301+1</f>
        <v>502</v>
      </c>
      <c r="CE302" s="338" t="s">
        <v>252</v>
      </c>
      <c r="CF302" s="339">
        <v>8.0999999999999996E-3</v>
      </c>
      <c r="CG302" s="339">
        <v>1.2200000000000001E-2</v>
      </c>
      <c r="CH302" s="339">
        <v>1.9900000000000001E-2</v>
      </c>
    </row>
    <row r="303" spans="72:86" ht="15" thickBot="1">
      <c r="CD303" s="265">
        <f>+CD302+1</f>
        <v>503</v>
      </c>
      <c r="CE303" s="338" t="s">
        <v>37</v>
      </c>
      <c r="CF303" s="339">
        <v>1.46E-2</v>
      </c>
      <c r="CG303" s="339">
        <v>2.3199999999999998E-2</v>
      </c>
      <c r="CH303" s="339">
        <v>3.1600000000000003E-2</v>
      </c>
    </row>
    <row r="304" spans="72:86" ht="15" thickBot="1">
      <c r="CD304" s="265">
        <f>+CD303+1</f>
        <v>504</v>
      </c>
      <c r="CE304" s="338" t="s">
        <v>253</v>
      </c>
      <c r="CF304" s="339">
        <v>9.4000000000000004E-3</v>
      </c>
      <c r="CG304" s="339">
        <v>1.0200000000000001E-2</v>
      </c>
      <c r="CH304" s="339">
        <v>1.3299999999999999E-2</v>
      </c>
    </row>
    <row r="305" spans="72:86" ht="15" thickBot="1">
      <c r="BV305" s="353" t="s">
        <v>286</v>
      </c>
      <c r="BW305" s="354" t="s">
        <v>283</v>
      </c>
      <c r="BX305" s="354" t="s">
        <v>287</v>
      </c>
      <c r="CD305" s="265">
        <f>+CD304+1</f>
        <v>505</v>
      </c>
      <c r="CE305" s="338" t="s">
        <v>254</v>
      </c>
      <c r="CF305" s="339">
        <v>7.1400000000000005E-2</v>
      </c>
      <c r="CG305" s="339">
        <v>8.4000000000000005E-2</v>
      </c>
      <c r="CH305" s="339">
        <v>0.1043</v>
      </c>
    </row>
    <row r="306" spans="72:86" ht="15" thickBot="1">
      <c r="BT306" s="265">
        <f>BT257</f>
        <v>100</v>
      </c>
      <c r="BU306" s="343" t="str">
        <f t="shared" ref="BU306:BU311" si="2">VLOOKUP(BT306,BT257:BU262,2,0)</f>
        <v>Construção de edificios</v>
      </c>
      <c r="BV306" s="344">
        <v>0.2034</v>
      </c>
      <c r="BW306" s="344">
        <v>0.22120000000000001</v>
      </c>
      <c r="BX306" s="344">
        <v>0.25</v>
      </c>
    </row>
    <row r="307" spans="72:86" ht="29.25" thickBot="1">
      <c r="BT307" s="265">
        <v>200</v>
      </c>
      <c r="BU307" s="343" t="str">
        <f t="shared" si="2"/>
        <v>Construção de rodovias e ferrovias</v>
      </c>
      <c r="BV307" s="339">
        <v>0.19600000000000001</v>
      </c>
      <c r="BW307" s="339">
        <v>0.2097</v>
      </c>
      <c r="BX307" s="339">
        <v>0.24229999999999999</v>
      </c>
      <c r="CD307" s="265">
        <f>BT262</f>
        <v>600</v>
      </c>
      <c r="CE307" s="430" t="str">
        <f>BU262</f>
        <v>Fornecimento de Materiais e Equipamentos</v>
      </c>
      <c r="CF307" s="430"/>
      <c r="CG307" s="430"/>
      <c r="CH307" s="430"/>
    </row>
    <row r="308" spans="72:86" ht="57.75" thickBot="1">
      <c r="BT308" s="265">
        <f>BT259</f>
        <v>300</v>
      </c>
      <c r="BU308" s="343" t="str">
        <f t="shared" si="2"/>
        <v>Construção de Redes de Abastecimento de Água, Coleta de Esgoto e Construções Correlatas</v>
      </c>
      <c r="BV308" s="339">
        <v>0.20760000000000001</v>
      </c>
      <c r="BW308" s="339">
        <v>0.24179999999999999</v>
      </c>
      <c r="BX308" s="339">
        <v>0.26440000000000002</v>
      </c>
      <c r="CD308" s="265">
        <f>+CD307+1</f>
        <v>601</v>
      </c>
      <c r="CE308" s="343" t="s">
        <v>251</v>
      </c>
      <c r="CF308" s="344">
        <v>1.4999999999999999E-2</v>
      </c>
      <c r="CG308" s="344">
        <v>3.4500000000000003E-2</v>
      </c>
      <c r="CH308" s="344">
        <v>4.4900000000000002E-2</v>
      </c>
    </row>
    <row r="309" spans="72:86" ht="57.75" thickBot="1">
      <c r="BT309" s="265">
        <v>400</v>
      </c>
      <c r="BU309" s="343" t="str">
        <f t="shared" si="2"/>
        <v>Construção e Manutenção de Estações e Redes de Distribuição de Energia Elétrica</v>
      </c>
      <c r="BV309" s="339">
        <v>0.24</v>
      </c>
      <c r="BW309" s="339">
        <v>0.25840000000000002</v>
      </c>
      <c r="BX309" s="339">
        <v>0.27860000000000001</v>
      </c>
      <c r="CD309" s="265">
        <f>+CD308+1</f>
        <v>602</v>
      </c>
      <c r="CE309" s="338" t="s">
        <v>252</v>
      </c>
      <c r="CF309" s="339">
        <v>3.0000000000000001E-3</v>
      </c>
      <c r="CG309" s="339">
        <v>4.7999999999999996E-3</v>
      </c>
      <c r="CH309" s="339">
        <v>8.2000000000000007E-3</v>
      </c>
    </row>
    <row r="310" spans="72:86" ht="29.25" thickBot="1">
      <c r="BT310" s="265">
        <v>500</v>
      </c>
      <c r="BU310" s="343" t="str">
        <f t="shared" si="2"/>
        <v>Portuárias, Marítimas e Fluviais</v>
      </c>
      <c r="BV310" s="339">
        <v>0.22800000000000001</v>
      </c>
      <c r="BW310" s="339">
        <v>0.27479999999999999</v>
      </c>
      <c r="BX310" s="339">
        <v>0.3095</v>
      </c>
      <c r="CD310" s="265">
        <f>+CD309+1</f>
        <v>603</v>
      </c>
      <c r="CE310" s="338" t="s">
        <v>37</v>
      </c>
      <c r="CF310" s="339">
        <v>5.5999999999999999E-3</v>
      </c>
      <c r="CG310" s="339">
        <v>8.5000000000000006E-3</v>
      </c>
      <c r="CH310" s="339">
        <v>8.8999999999999999E-3</v>
      </c>
    </row>
    <row r="311" spans="72:86" ht="29.25" thickBot="1">
      <c r="BT311" s="265">
        <v>600</v>
      </c>
      <c r="BU311" s="343" t="str">
        <f t="shared" si="2"/>
        <v>Fornecimento de Materiais e Equipamentos</v>
      </c>
      <c r="BV311" s="339">
        <v>0.111</v>
      </c>
      <c r="BW311" s="339">
        <v>0.14019999999999999</v>
      </c>
      <c r="BX311" s="339">
        <v>0.16800000000000001</v>
      </c>
      <c r="CD311" s="265">
        <f>+CD310+1</f>
        <v>604</v>
      </c>
      <c r="CE311" s="338" t="s">
        <v>253</v>
      </c>
      <c r="CF311" s="339">
        <v>8.5000000000000006E-3</v>
      </c>
      <c r="CG311" s="339">
        <v>8.5000000000000006E-3</v>
      </c>
      <c r="CH311" s="339">
        <v>1.11E-2</v>
      </c>
    </row>
    <row r="312" spans="72:86" ht="15" thickBot="1">
      <c r="CD312" s="265">
        <f>+CD311+1</f>
        <v>605</v>
      </c>
      <c r="CE312" s="338" t="s">
        <v>254</v>
      </c>
      <c r="CF312" s="339">
        <v>3.5000000000000003E-2</v>
      </c>
      <c r="CG312" s="339">
        <v>5.11E-2</v>
      </c>
      <c r="CH312" s="339">
        <v>6.2199999999999998E-2</v>
      </c>
    </row>
  </sheetData>
  <mergeCells count="33">
    <mergeCell ref="CE307:CH307"/>
    <mergeCell ref="BT288:BX288"/>
    <mergeCell ref="BT289:BX289"/>
    <mergeCell ref="BT293:BX293"/>
    <mergeCell ref="CE294:CH294"/>
    <mergeCell ref="CE300:CH300"/>
    <mergeCell ref="CE271:CH271"/>
    <mergeCell ref="CE279:CH279"/>
    <mergeCell ref="BT282:BX282"/>
    <mergeCell ref="BT287:BX287"/>
    <mergeCell ref="CE287:CH287"/>
    <mergeCell ref="B52:F52"/>
    <mergeCell ref="B54:D54"/>
    <mergeCell ref="E54:F54"/>
    <mergeCell ref="D56:E56"/>
    <mergeCell ref="BT255:BX255"/>
    <mergeCell ref="B28:F28"/>
    <mergeCell ref="B31:F31"/>
    <mergeCell ref="B32:F32"/>
    <mergeCell ref="E46:F46"/>
    <mergeCell ref="B47:F47"/>
    <mergeCell ref="D19:F19"/>
    <mergeCell ref="K19:AV20"/>
    <mergeCell ref="D21:F21"/>
    <mergeCell ref="D22:F22"/>
    <mergeCell ref="D26:E26"/>
    <mergeCell ref="A1:G1"/>
    <mergeCell ref="B5:F5"/>
    <mergeCell ref="B7:F7"/>
    <mergeCell ref="C9:F9"/>
    <mergeCell ref="B15:F15"/>
    <mergeCell ref="A3:G3"/>
    <mergeCell ref="A2:G2"/>
  </mergeCells>
  <conditionalFormatting sqref="F34:F38">
    <cfRule type="cellIs" dxfId="3" priority="1" stopIfTrue="1" operator="between">
      <formula>$C34</formula>
      <formula>$E34</formula>
    </cfRule>
  </conditionalFormatting>
  <conditionalFormatting sqref="B52:D56 E52:F53 E55:F56">
    <cfRule type="expression" dxfId="2" priority="2" stopIfTrue="1">
      <formula>OR($F$11="NÃO",$F$11="")</formula>
    </cfRule>
  </conditionalFormatting>
  <conditionalFormatting sqref="E46:F46">
    <cfRule type="expression" dxfId="1" priority="3" stopIfTrue="1">
      <formula>$F$11="SIM"</formula>
    </cfRule>
  </conditionalFormatting>
  <conditionalFormatting sqref="E54:F54">
    <cfRule type="expression" dxfId="0" priority="4" stopIfTrue="1">
      <formula>OR($F$11="NÃO",$F$11="")</formula>
    </cfRule>
  </conditionalFormatting>
  <dataValidations count="5">
    <dataValidation type="list" allowBlank="1" showInputMessage="1" showErrorMessage="1" sqref="E20:F20">
      <formula1>$CE$266:$CE$267</formula1>
    </dataValidation>
    <dataValidation type="list" allowBlank="1" showInputMessage="1" showErrorMessage="1" sqref="C9:F9">
      <formula1>$BU$257:$BU$262</formula1>
    </dataValidation>
    <dataValidation type="list" allowBlank="1" showInputMessage="1" showErrorMessage="1" sqref="F11">
      <formula1>"SIM, NÃO"</formula1>
    </dataValidation>
    <dataValidation type="decimal" allowBlank="1" showInputMessage="1" showErrorMessage="1" errorTitle="FORA DO INTERVALO" error="Deve-se adotar valor entre o 1º e 3º quartil" sqref="F34:F38">
      <formula1>C34</formula1>
      <formula2>E34</formula2>
    </dataValidation>
    <dataValidation type="decimal" allowBlank="1" showInputMessage="1" showErrorMessage="1" sqref="F40">
      <formula1>C40</formula1>
      <formula2>E40</formula2>
    </dataValidation>
  </dataValidations>
  <printOptions horizontalCentered="1" gridLines="1"/>
  <pageMargins left="0.98425196850393704" right="0.78740157480314965" top="1.7716535433070868" bottom="0.78740157480314965" header="0.31496062992125984" footer="0.31496062992125984"/>
  <pageSetup paperSize="9" scale="85" orientation="portrait" r:id="rId1"/>
  <headerFooter>
    <oddFooter>&amp;RPágina &amp;P de &amp;N</oddFooter>
  </headerFooter>
  <legacyDrawing r:id="rId2"/>
  <oleObjects>
    <oleObject progId="Equation.3" shapeId="1025" r:id="rId3"/>
    <oleObject progId="Equation.3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CRONOGRAMA</vt:lpstr>
      <vt:lpstr>PLANILHA ORÇAMENTÁRIA</vt:lpstr>
      <vt:lpstr>COMPOSIÇÃO</vt:lpstr>
      <vt:lpstr>BDI</vt:lpstr>
      <vt:lpstr>BDI!Area_de_impressao</vt:lpstr>
      <vt:lpstr>COMPOSIÇÃO!Area_de_impressao</vt:lpstr>
      <vt:lpstr>CRONOGRAMA!Area_de_impressao</vt:lpstr>
      <vt:lpstr>'PLANILHA ORÇAMENTÁRIA'!Area_de_impressao</vt:lpstr>
      <vt:lpstr>BDI!Titulos_de_impressao</vt:lpstr>
      <vt:lpstr>COMPOSIÇÃO!Titulos_de_impressao</vt:lpstr>
      <vt:lpstr>CRONOGRAMA!Titulos_de_impressao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Mirna</cp:lastModifiedBy>
  <cp:lastPrinted>2018-08-04T20:00:25Z</cp:lastPrinted>
  <dcterms:created xsi:type="dcterms:W3CDTF">2003-03-13T20:31:18Z</dcterms:created>
  <dcterms:modified xsi:type="dcterms:W3CDTF">2018-10-01T17:30:38Z</dcterms:modified>
</cp:coreProperties>
</file>